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drawings/drawing7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dek\Desktop\AKTIVNÍ\Liteň+IUR 06-2026\"/>
    </mc:Choice>
  </mc:AlternateContent>
  <xr:revisionPtr revIDLastSave="0" documentId="13_ncr:1_{24F287B9-6F62-4CE7-BB29-649918F7D1F7}" xr6:coauthVersionLast="47" xr6:coauthVersionMax="47" xr10:uidLastSave="{00000000-0000-0000-0000-000000000000}"/>
  <bookViews>
    <workbookView xWindow="13130" yWindow="60" windowWidth="25320" windowHeight="20770" tabRatio="897" activeTab="3" xr2:uid="{00000000-000D-0000-FFFF-FFFF00000000}"/>
  </bookViews>
  <sheets>
    <sheet name="výhled-aktiv " sheetId="1" r:id="rId1"/>
    <sheet name="Kondice" sheetId="17" r:id="rId2"/>
    <sheet name="KUMULOVANY" sheetId="9" r:id="rId3"/>
    <sheet name="ÚD" sheetId="16" r:id="rId4"/>
    <sheet name="ÚD-zdroj" sheetId="14" r:id="rId5"/>
    <sheet name="provozni saldo" sheetId="5" r:id="rId6"/>
    <sheet name="úvěry-účty a fin maj-pohledávky" sheetId="6" r:id="rId7"/>
    <sheet name="úvěry a účty vcetne vyhledu" sheetId="7" r:id="rId8"/>
    <sheet name="ZMENY BP A BV" sheetId="8" r:id="rId9"/>
    <sheet name="ZDROJ" sheetId="10" r:id="rId10"/>
    <sheet name="Rating" sheetId="12" r:id="rId11"/>
    <sheet name="Limity" sheetId="13" r:id="rId12"/>
    <sheet name="Hospodářská činnost" sheetId="15" r:id="rId13"/>
  </sheets>
  <definedNames>
    <definedName name="_xlnm._FilterDatabase" localSheetId="2" hidden="1">KUMULOVANY!#REF!</definedName>
    <definedName name="_xlnm._FilterDatabase" localSheetId="5" hidden="1">'provozni saldo'!$A$2:$P$8</definedName>
    <definedName name="_xlnm._FilterDatabase" localSheetId="3" hidden="1">ÚD!#REF!</definedName>
    <definedName name="_xlnm._FilterDatabase" localSheetId="4" hidden="1">'ÚD-zdroj'!#REF!</definedName>
    <definedName name="_xlnm._FilterDatabase" localSheetId="0" hidden="1">'výhled-aktiv '!$A$1:$AP$53</definedName>
    <definedName name="_Hlk166831042" localSheetId="0">'výhled-aktiv '!$AQ$1</definedName>
    <definedName name="_xlnm.Database" localSheetId="2">#REF!</definedName>
    <definedName name="_xlnm.Database" localSheetId="5">#REF!</definedName>
    <definedName name="_xlnm.Database" localSheetId="3">#REF!</definedName>
    <definedName name="_xlnm.Database" localSheetId="4">#REF!</definedName>
    <definedName name="_xlnm.Database" localSheetId="7">#REF!</definedName>
    <definedName name="_xlnm.Database" localSheetId="0">#REF!</definedName>
    <definedName name="_xlnm.Database">#REF!</definedName>
    <definedName name="_xlnm.Print_Area" localSheetId="2">KUMULOVANY!$A$1:$AA$28</definedName>
    <definedName name="_xlnm.Print_Area" localSheetId="5">'provozni saldo'!$A$1:$I$22</definedName>
    <definedName name="_xlnm.Print_Area" localSheetId="3">ÚD!$A$1:$I$8</definedName>
    <definedName name="_xlnm.Print_Area" localSheetId="4">'ÚD-zdroj'!$A$1:$T$26</definedName>
    <definedName name="_xlnm.Print_Area" localSheetId="7">'úvěry a účty vcetne vyhledu'!$A$1:$W$66</definedName>
    <definedName name="_xlnm.Print_Area" localSheetId="6">'úvěry-účty a fin maj-pohledávky'!$A$1:$W$91</definedName>
    <definedName name="_xlnm.Print_Area" localSheetId="0">'výhled-aktiv '!$A$1:$AP$56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7" i="1" l="1"/>
  <c r="AD33" i="10" l="1"/>
  <c r="AD29" i="10"/>
  <c r="AD10" i="10"/>
  <c r="Z6" i="1"/>
  <c r="B63" i="1"/>
  <c r="AG51" i="1"/>
  <c r="AG44" i="1"/>
  <c r="AG35" i="1"/>
  <c r="Z15" i="1" l="1"/>
  <c r="Z16" i="1"/>
  <c r="Z17" i="1"/>
  <c r="Z50" i="1" s="1"/>
  <c r="AA22" i="10"/>
  <c r="AA30" i="10"/>
  <c r="AA31" i="10"/>
  <c r="AB13" i="1"/>
  <c r="AC13" i="1"/>
  <c r="AD13" i="1"/>
  <c r="AE13" i="1"/>
  <c r="AA13" i="1"/>
  <c r="AJ53" i="10" l="1"/>
  <c r="X2" i="1"/>
  <c r="Y2" i="1"/>
  <c r="AT1" i="1"/>
  <c r="AU1" i="1" s="1"/>
  <c r="AW1" i="1" s="1"/>
  <c r="AJ57" i="10"/>
  <c r="AW9" i="1" l="1"/>
  <c r="AW7" i="1"/>
  <c r="AW6" i="1"/>
  <c r="AW4" i="1"/>
  <c r="Z38" i="1"/>
  <c r="D2" i="1" l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X34" i="1" s="1"/>
  <c r="Y3" i="1"/>
  <c r="Y34" i="1" s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N15" i="1"/>
  <c r="O15" i="1"/>
  <c r="P15" i="1"/>
  <c r="Q15" i="1"/>
  <c r="R15" i="1"/>
  <c r="S15" i="1"/>
  <c r="T15" i="1"/>
  <c r="U15" i="1"/>
  <c r="V15" i="1"/>
  <c r="W15" i="1"/>
  <c r="X15" i="1"/>
  <c r="Y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N17" i="1"/>
  <c r="O17" i="1"/>
  <c r="P17" i="1"/>
  <c r="Q17" i="1"/>
  <c r="R17" i="1"/>
  <c r="S17" i="1"/>
  <c r="T17" i="1"/>
  <c r="U17" i="1"/>
  <c r="V17" i="1"/>
  <c r="W17" i="1"/>
  <c r="X17" i="1"/>
  <c r="Y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D24" i="1"/>
  <c r="D35" i="1" s="1"/>
  <c r="E24" i="1"/>
  <c r="E35" i="1" s="1"/>
  <c r="F24" i="1"/>
  <c r="F35" i="1" s="1"/>
  <c r="G24" i="1"/>
  <c r="H24" i="1"/>
  <c r="I24" i="1"/>
  <c r="I35" i="1" s="1"/>
  <c r="J24" i="1"/>
  <c r="J35" i="1" s="1"/>
  <c r="K24" i="1"/>
  <c r="K35" i="1" s="1"/>
  <c r="L24" i="1"/>
  <c r="L35" i="1" s="1"/>
  <c r="M24" i="1"/>
  <c r="M35" i="1" s="1"/>
  <c r="N24" i="1"/>
  <c r="N35" i="1" s="1"/>
  <c r="O24" i="1"/>
  <c r="O35" i="1" s="1"/>
  <c r="P24" i="1"/>
  <c r="P35" i="1" s="1"/>
  <c r="Q24" i="1"/>
  <c r="Q35" i="1" s="1"/>
  <c r="R24" i="1"/>
  <c r="R35" i="1" s="1"/>
  <c r="S24" i="1"/>
  <c r="T24" i="1"/>
  <c r="U24" i="1"/>
  <c r="U35" i="1" s="1"/>
  <c r="V24" i="1"/>
  <c r="V35" i="1" s="1"/>
  <c r="W24" i="1"/>
  <c r="W35" i="1" s="1"/>
  <c r="X24" i="1"/>
  <c r="X35" i="1" s="1"/>
  <c r="Y24" i="1"/>
  <c r="Y35" i="1" s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O27" i="1"/>
  <c r="P27" i="1"/>
  <c r="Q27" i="1"/>
  <c r="R27" i="1"/>
  <c r="S27" i="1"/>
  <c r="T27" i="1"/>
  <c r="U27" i="1"/>
  <c r="V27" i="1"/>
  <c r="W27" i="1"/>
  <c r="X27" i="1"/>
  <c r="Y27" i="1"/>
  <c r="O28" i="1"/>
  <c r="P28" i="1"/>
  <c r="Q28" i="1"/>
  <c r="R28" i="1"/>
  <c r="S28" i="1"/>
  <c r="T28" i="1"/>
  <c r="U28" i="1"/>
  <c r="V28" i="1"/>
  <c r="W28" i="1"/>
  <c r="X28" i="1"/>
  <c r="Y28" i="1"/>
  <c r="Q29" i="1"/>
  <c r="R29" i="1"/>
  <c r="S29" i="1"/>
  <c r="T29" i="1"/>
  <c r="U29" i="1"/>
  <c r="V29" i="1"/>
  <c r="W29" i="1"/>
  <c r="X29" i="1"/>
  <c r="Y29" i="1"/>
  <c r="D31" i="1"/>
  <c r="E31" i="1"/>
  <c r="F31" i="1"/>
  <c r="G31" i="1"/>
  <c r="H31" i="1"/>
  <c r="I31" i="1"/>
  <c r="J31" i="1"/>
  <c r="K31" i="1"/>
  <c r="L31" i="1"/>
  <c r="M31" i="1"/>
  <c r="N31" i="1"/>
  <c r="N32" i="1" s="1"/>
  <c r="O31" i="1"/>
  <c r="O32" i="1" s="1"/>
  <c r="P31" i="1"/>
  <c r="P32" i="1" s="1"/>
  <c r="Q31" i="1"/>
  <c r="R31" i="1"/>
  <c r="S31" i="1"/>
  <c r="T31" i="1"/>
  <c r="U31" i="1"/>
  <c r="V31" i="1"/>
  <c r="W31" i="1"/>
  <c r="X31" i="1"/>
  <c r="Y31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51" i="1"/>
  <c r="Y36" i="1" l="1"/>
  <c r="X36" i="1"/>
  <c r="M32" i="1"/>
  <c r="AF11" i="1"/>
  <c r="AF3" i="1"/>
  <c r="O34" i="1"/>
  <c r="O36" i="1" s="1"/>
  <c r="M34" i="1"/>
  <c r="M36" i="1" s="1"/>
  <c r="V34" i="1"/>
  <c r="V36" i="1" s="1"/>
  <c r="T34" i="1"/>
  <c r="W34" i="1"/>
  <c r="W36" i="1" s="1"/>
  <c r="U34" i="1"/>
  <c r="U36" i="1" s="1"/>
  <c r="Q23" i="1"/>
  <c r="K32" i="1"/>
  <c r="J32" i="1"/>
  <c r="R23" i="1"/>
  <c r="F34" i="1"/>
  <c r="F36" i="1" s="1"/>
  <c r="L34" i="1"/>
  <c r="L36" i="1" s="1"/>
  <c r="K34" i="1"/>
  <c r="K36" i="1" s="1"/>
  <c r="O23" i="1"/>
  <c r="O33" i="1" s="1"/>
  <c r="O39" i="1" s="1"/>
  <c r="P23" i="1"/>
  <c r="P33" i="1" s="1"/>
  <c r="P39" i="1" s="1"/>
  <c r="S34" i="1"/>
  <c r="S36" i="1" s="1"/>
  <c r="AJ56" i="10"/>
  <c r="AD52" i="10" s="1"/>
  <c r="X32" i="1"/>
  <c r="Y32" i="1"/>
  <c r="R32" i="1"/>
  <c r="H34" i="1"/>
  <c r="Q32" i="1"/>
  <c r="N34" i="1"/>
  <c r="N36" i="1" s="1"/>
  <c r="G34" i="1"/>
  <c r="I32" i="1"/>
  <c r="F32" i="1"/>
  <c r="E32" i="1"/>
  <c r="D32" i="1"/>
  <c r="D34" i="1"/>
  <c r="D36" i="1" s="1"/>
  <c r="E34" i="1"/>
  <c r="E36" i="1" s="1"/>
  <c r="J23" i="1"/>
  <c r="W32" i="1"/>
  <c r="L23" i="1"/>
  <c r="I23" i="1"/>
  <c r="J34" i="1"/>
  <c r="J36" i="1" s="1"/>
  <c r="N23" i="1"/>
  <c r="N33" i="1" s="1"/>
  <c r="N39" i="1" s="1"/>
  <c r="K23" i="1"/>
  <c r="I34" i="1"/>
  <c r="I36" i="1" s="1"/>
  <c r="M23" i="1"/>
  <c r="V32" i="1"/>
  <c r="H23" i="1"/>
  <c r="Y23" i="1"/>
  <c r="X23" i="1"/>
  <c r="V23" i="1"/>
  <c r="Q34" i="1"/>
  <c r="Q36" i="1" s="1"/>
  <c r="T32" i="1"/>
  <c r="S32" i="1"/>
  <c r="H32" i="1"/>
  <c r="G32" i="1"/>
  <c r="G23" i="1"/>
  <c r="F23" i="1"/>
  <c r="E23" i="1"/>
  <c r="D23" i="1"/>
  <c r="U23" i="1"/>
  <c r="T23" i="1"/>
  <c r="S23" i="1"/>
  <c r="W23" i="1"/>
  <c r="R34" i="1"/>
  <c r="R36" i="1" s="1"/>
  <c r="P34" i="1"/>
  <c r="P36" i="1" s="1"/>
  <c r="L32" i="1"/>
  <c r="H35" i="1"/>
  <c r="G35" i="1"/>
  <c r="U32" i="1"/>
  <c r="T35" i="1"/>
  <c r="S35" i="1"/>
  <c r="M33" i="1" l="1"/>
  <c r="M39" i="1" s="1"/>
  <c r="T36" i="1"/>
  <c r="J33" i="1"/>
  <c r="J39" i="1" s="1"/>
  <c r="G36" i="1"/>
  <c r="H36" i="1"/>
  <c r="R33" i="1"/>
  <c r="R39" i="1" s="1"/>
  <c r="Q33" i="1"/>
  <c r="Q39" i="1" s="1"/>
  <c r="Z56" i="1"/>
  <c r="AA56" i="1" s="1"/>
  <c r="K33" i="1"/>
  <c r="K39" i="1" s="1"/>
  <c r="L33" i="1"/>
  <c r="L39" i="1" s="1"/>
  <c r="X33" i="1"/>
  <c r="X39" i="1" s="1"/>
  <c r="Y33" i="1"/>
  <c r="Y39" i="1" s="1"/>
  <c r="I33" i="1"/>
  <c r="I39" i="1" s="1"/>
  <c r="D33" i="1"/>
  <c r="E33" i="1"/>
  <c r="W33" i="1"/>
  <c r="W39" i="1" s="1"/>
  <c r="F33" i="1"/>
  <c r="V33" i="1"/>
  <c r="V39" i="1" s="1"/>
  <c r="G33" i="1"/>
  <c r="G39" i="1" s="1"/>
  <c r="H33" i="1"/>
  <c r="H39" i="1" s="1"/>
  <c r="U33" i="1"/>
  <c r="U39" i="1" s="1"/>
  <c r="S33" i="1"/>
  <c r="S39" i="1" s="1"/>
  <c r="T33" i="1"/>
  <c r="T39" i="1" s="1"/>
  <c r="Z5" i="1"/>
  <c r="Z7" i="1"/>
  <c r="Z8" i="1"/>
  <c r="Z9" i="1"/>
  <c r="F23" i="14" l="1"/>
  <c r="G23" i="14"/>
  <c r="H23" i="14"/>
  <c r="I23" i="14"/>
  <c r="J23" i="14"/>
  <c r="K23" i="14"/>
  <c r="L23" i="14"/>
  <c r="M23" i="14"/>
  <c r="N23" i="14"/>
  <c r="E23" i="14"/>
  <c r="K6" i="17"/>
  <c r="K4" i="17" s="1"/>
  <c r="AA2" i="10" l="1"/>
  <c r="Z28" i="1" l="1"/>
  <c r="Y27" i="9" l="1"/>
  <c r="C6" i="17" l="1"/>
  <c r="C4" i="17" s="1"/>
  <c r="D6" i="17"/>
  <c r="D4" i="17" s="1"/>
  <c r="E6" i="17"/>
  <c r="E4" i="17" s="1"/>
  <c r="F6" i="17"/>
  <c r="F4" i="17" s="1"/>
  <c r="G6" i="17"/>
  <c r="G4" i="17" s="1"/>
  <c r="H6" i="17"/>
  <c r="H4" i="17" s="1"/>
  <c r="I6" i="17"/>
  <c r="I4" i="17" s="1"/>
  <c r="J6" i="17"/>
  <c r="J4" i="17" s="1"/>
  <c r="B6" i="17"/>
  <c r="B4" i="17" s="1"/>
  <c r="L5" i="17" l="1"/>
  <c r="K7" i="17"/>
  <c r="AL6" i="10"/>
  <c r="Z29" i="1" l="1"/>
  <c r="AA51" i="1" l="1"/>
  <c r="AB51" i="1" s="1"/>
  <c r="AC51" i="1" s="1"/>
  <c r="AD51" i="1" s="1"/>
  <c r="AE51" i="1" s="1"/>
  <c r="AA3" i="1" l="1"/>
  <c r="AR3" i="1" l="1"/>
  <c r="AA34" i="1"/>
  <c r="AK18" i="10"/>
  <c r="AK19" i="10" s="1"/>
  <c r="AL12" i="10" l="1"/>
  <c r="AM12" i="10" l="1"/>
  <c r="AG52" i="1" l="1"/>
  <c r="Z31" i="1" l="1"/>
  <c r="AG38" i="1" l="1"/>
  <c r="M1" i="17" l="1"/>
  <c r="N1" i="17"/>
  <c r="O1" i="17"/>
  <c r="P1" i="17"/>
  <c r="Q1" i="17"/>
  <c r="S22" i="9" l="1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M3" i="17" l="1"/>
  <c r="N3" i="17"/>
  <c r="O3" i="17"/>
  <c r="P3" i="17"/>
  <c r="Q3" i="17"/>
  <c r="Z49" i="1" l="1"/>
  <c r="O23" i="14" s="1"/>
  <c r="M44" i="1" l="1"/>
  <c r="N44" i="1"/>
  <c r="O44" i="1"/>
  <c r="P44" i="1"/>
  <c r="Q44" i="1"/>
  <c r="R44" i="1"/>
  <c r="S44" i="1"/>
  <c r="T44" i="1"/>
  <c r="U44" i="1"/>
  <c r="V44" i="1"/>
  <c r="W44" i="1"/>
  <c r="X44" i="1"/>
  <c r="Y44" i="1"/>
  <c r="Z4" i="1" l="1"/>
  <c r="AL4" i="1" s="1"/>
  <c r="Z11" i="1"/>
  <c r="Z12" i="1"/>
  <c r="AL12" i="1" s="1"/>
  <c r="Z14" i="1"/>
  <c r="Z20" i="1"/>
  <c r="Z21" i="1"/>
  <c r="Z22" i="1"/>
  <c r="Z25" i="1"/>
  <c r="Z26" i="1"/>
  <c r="Z27" i="1"/>
  <c r="Z30" i="1"/>
  <c r="AA50" i="1" l="1"/>
  <c r="AB50" i="1" s="1"/>
  <c r="AC50" i="1" s="1"/>
  <c r="AD50" i="1" s="1"/>
  <c r="AE50" i="1" s="1"/>
  <c r="Z10" i="1"/>
  <c r="T23" i="9" l="1"/>
  <c r="AB2" i="5" l="1"/>
  <c r="P5" i="14"/>
  <c r="Q5" i="14"/>
  <c r="R5" i="14"/>
  <c r="S5" i="14"/>
  <c r="T5" i="14"/>
  <c r="P7" i="14"/>
  <c r="Q7" i="14"/>
  <c r="R7" i="14"/>
  <c r="S7" i="14"/>
  <c r="T7" i="14"/>
  <c r="P8" i="14"/>
  <c r="Q8" i="14"/>
  <c r="R8" i="14"/>
  <c r="S8" i="14"/>
  <c r="T8" i="14"/>
  <c r="P9" i="14"/>
  <c r="Q9" i="14"/>
  <c r="R9" i="14"/>
  <c r="S9" i="14"/>
  <c r="T9" i="14"/>
  <c r="P12" i="14"/>
  <c r="Q12" i="14"/>
  <c r="R12" i="14"/>
  <c r="S12" i="14"/>
  <c r="T12" i="14"/>
  <c r="P18" i="14"/>
  <c r="Q18" i="14"/>
  <c r="R18" i="14"/>
  <c r="S18" i="14"/>
  <c r="T18" i="14"/>
  <c r="P19" i="14"/>
  <c r="Q19" i="14"/>
  <c r="R19" i="14"/>
  <c r="S19" i="14"/>
  <c r="T19" i="14"/>
  <c r="F22" i="14"/>
  <c r="G22" i="14"/>
  <c r="H22" i="14"/>
  <c r="I22" i="14"/>
  <c r="J22" i="14"/>
  <c r="K22" i="14"/>
  <c r="L22" i="14"/>
  <c r="F25" i="14"/>
  <c r="G25" i="14"/>
  <c r="H25" i="14"/>
  <c r="I25" i="14"/>
  <c r="J25" i="14"/>
  <c r="K25" i="14"/>
  <c r="L25" i="14"/>
  <c r="M25" i="14"/>
  <c r="N25" i="14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K44" i="1"/>
  <c r="G9" i="5" s="1"/>
  <c r="L44" i="1"/>
  <c r="H9" i="5" s="1"/>
  <c r="I9" i="5"/>
  <c r="I20" i="9"/>
  <c r="L9" i="5"/>
  <c r="O9" i="5"/>
  <c r="I20" i="14"/>
  <c r="L20" i="14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E18" i="9"/>
  <c r="F18" i="9"/>
  <c r="G18" i="9"/>
  <c r="H18" i="9"/>
  <c r="I18" i="9"/>
  <c r="J18" i="9"/>
  <c r="G18" i="14"/>
  <c r="H18" i="14"/>
  <c r="I18" i="14"/>
  <c r="K18" i="14"/>
  <c r="L18" i="14"/>
  <c r="R18" i="9"/>
  <c r="F19" i="9"/>
  <c r="G19" i="9"/>
  <c r="P47" i="1"/>
  <c r="K19" i="9"/>
  <c r="N19" i="9"/>
  <c r="O19" i="9"/>
  <c r="R19" i="9"/>
  <c r="G12" i="9"/>
  <c r="H12" i="9"/>
  <c r="I12" i="9"/>
  <c r="F12" i="14"/>
  <c r="M12" i="9"/>
  <c r="J12" i="14"/>
  <c r="P12" i="9"/>
  <c r="E3" i="9"/>
  <c r="G3" i="9"/>
  <c r="I3" i="9"/>
  <c r="L3" i="9"/>
  <c r="R3" i="9"/>
  <c r="AR4" i="1"/>
  <c r="AR5" i="1"/>
  <c r="AR6" i="1"/>
  <c r="AR7" i="1"/>
  <c r="AR8" i="1"/>
  <c r="AR10" i="1"/>
  <c r="AR11" i="1"/>
  <c r="AR12" i="1"/>
  <c r="E4" i="9"/>
  <c r="F4" i="9"/>
  <c r="G4" i="9"/>
  <c r="H4" i="9"/>
  <c r="I4" i="9"/>
  <c r="J4" i="9"/>
  <c r="I4" i="14"/>
  <c r="J4" i="14"/>
  <c r="P4" i="9"/>
  <c r="N4" i="14"/>
  <c r="E5" i="9"/>
  <c r="F5" i="9"/>
  <c r="G5" i="9"/>
  <c r="H5" i="9"/>
  <c r="J5" i="9"/>
  <c r="L5" i="9"/>
  <c r="P5" i="9"/>
  <c r="Q5" i="9"/>
  <c r="N5" i="14"/>
  <c r="E6" i="9"/>
  <c r="G6" i="9"/>
  <c r="H6" i="9"/>
  <c r="I6" i="9"/>
  <c r="K6" i="9"/>
  <c r="G6" i="14"/>
  <c r="N6" i="9"/>
  <c r="M6" i="14"/>
  <c r="N6" i="14"/>
  <c r="F7" i="9"/>
  <c r="G7" i="9"/>
  <c r="H7" i="9"/>
  <c r="I7" i="9"/>
  <c r="J7" i="9"/>
  <c r="G7" i="14"/>
  <c r="K7" i="14"/>
  <c r="Q7" i="9"/>
  <c r="R7" i="9"/>
  <c r="N7" i="14"/>
  <c r="E8" i="9"/>
  <c r="F8" i="9"/>
  <c r="G8" i="9"/>
  <c r="H8" i="9"/>
  <c r="I8" i="9"/>
  <c r="J8" i="9"/>
  <c r="F8" i="14"/>
  <c r="L8" i="9"/>
  <c r="I8" i="14"/>
  <c r="J8" i="14"/>
  <c r="M8" i="14"/>
  <c r="N8" i="14"/>
  <c r="E9" i="9"/>
  <c r="F9" i="9"/>
  <c r="G9" i="9"/>
  <c r="H9" i="9"/>
  <c r="I9" i="9"/>
  <c r="J9" i="9"/>
  <c r="G9" i="14"/>
  <c r="H9" i="14"/>
  <c r="P9" i="9"/>
  <c r="L9" i="14"/>
  <c r="N9" i="14"/>
  <c r="G11" i="9"/>
  <c r="H11" i="9"/>
  <c r="M11" i="9"/>
  <c r="I11" i="14"/>
  <c r="L16" i="14"/>
  <c r="N11" i="14"/>
  <c r="C2" i="5"/>
  <c r="D2" i="5"/>
  <c r="E2" i="5"/>
  <c r="F2" i="5"/>
  <c r="B1" i="17"/>
  <c r="H1" i="17"/>
  <c r="J1" i="17"/>
  <c r="K1" i="17"/>
  <c r="AU2" i="1" l="1"/>
  <c r="O2" i="5"/>
  <c r="E1" i="17"/>
  <c r="P2" i="5"/>
  <c r="F1" i="17"/>
  <c r="N3" i="14"/>
  <c r="N2" i="5"/>
  <c r="D1" i="17"/>
  <c r="S2" i="5"/>
  <c r="I1" i="17"/>
  <c r="Q2" i="5"/>
  <c r="G1" i="17"/>
  <c r="M2" i="5"/>
  <c r="C1" i="17"/>
  <c r="AI12" i="1"/>
  <c r="N2" i="14"/>
  <c r="U2" i="5"/>
  <c r="H2" i="9"/>
  <c r="J2" i="5"/>
  <c r="E2" i="9"/>
  <c r="G2" i="5"/>
  <c r="G2" i="9"/>
  <c r="I2" i="5"/>
  <c r="R2" i="9"/>
  <c r="T2" i="5"/>
  <c r="I2" i="9"/>
  <c r="K2" i="5"/>
  <c r="K2" i="14"/>
  <c r="R2" i="5"/>
  <c r="J2" i="9"/>
  <c r="L2" i="5"/>
  <c r="F2" i="9"/>
  <c r="H2" i="5"/>
  <c r="AR9" i="1"/>
  <c r="AK9" i="1"/>
  <c r="AH3" i="1"/>
  <c r="P18" i="9"/>
  <c r="T41" i="1"/>
  <c r="H20" i="14"/>
  <c r="V46" i="1"/>
  <c r="H10" i="9"/>
  <c r="Q20" i="9"/>
  <c r="J19" i="9"/>
  <c r="M18" i="9"/>
  <c r="R8" i="9"/>
  <c r="I6" i="14"/>
  <c r="K9" i="5"/>
  <c r="L3" i="5"/>
  <c r="M20" i="9"/>
  <c r="L18" i="9"/>
  <c r="P7" i="9"/>
  <c r="E11" i="9"/>
  <c r="Q11" i="9"/>
  <c r="K8" i="9"/>
  <c r="F6" i="14"/>
  <c r="O12" i="9"/>
  <c r="L9" i="9"/>
  <c r="M18" i="14"/>
  <c r="K9" i="14"/>
  <c r="K4" i="14"/>
  <c r="S9" i="5"/>
  <c r="L11" i="14"/>
  <c r="M9" i="9"/>
  <c r="P9" i="5"/>
  <c r="H16" i="9"/>
  <c r="E20" i="9"/>
  <c r="Q18" i="9"/>
  <c r="K12" i="9"/>
  <c r="I11" i="9"/>
  <c r="P2" i="9"/>
  <c r="G8" i="14"/>
  <c r="M2" i="14"/>
  <c r="L7" i="5"/>
  <c r="J16" i="14"/>
  <c r="Q4" i="5"/>
  <c r="O16" i="9"/>
  <c r="J7" i="14"/>
  <c r="O7" i="9"/>
  <c r="F7" i="14"/>
  <c r="K7" i="9"/>
  <c r="L6" i="14"/>
  <c r="Q6" i="9"/>
  <c r="H6" i="14"/>
  <c r="M6" i="9"/>
  <c r="M4" i="9"/>
  <c r="H4" i="14"/>
  <c r="Q3" i="9"/>
  <c r="L3" i="14"/>
  <c r="P16" i="9"/>
  <c r="K16" i="14"/>
  <c r="R4" i="5"/>
  <c r="N9" i="5"/>
  <c r="G20" i="14"/>
  <c r="L20" i="9"/>
  <c r="W47" i="1"/>
  <c r="S7" i="5"/>
  <c r="L19" i="14"/>
  <c r="Q19" i="9"/>
  <c r="S47" i="1"/>
  <c r="H19" i="14"/>
  <c r="O7" i="5"/>
  <c r="M19" i="9"/>
  <c r="O47" i="1"/>
  <c r="K7" i="5"/>
  <c r="I19" i="9"/>
  <c r="K47" i="1"/>
  <c r="E19" i="9"/>
  <c r="G7" i="5"/>
  <c r="O18" i="9"/>
  <c r="J18" i="14"/>
  <c r="F18" i="14"/>
  <c r="K18" i="9"/>
  <c r="AQ35" i="1"/>
  <c r="J9" i="14"/>
  <c r="O9" i="9"/>
  <c r="K9" i="9"/>
  <c r="F9" i="14"/>
  <c r="Q8" i="9"/>
  <c r="L8" i="14"/>
  <c r="H8" i="14"/>
  <c r="M8" i="9"/>
  <c r="O5" i="9"/>
  <c r="J5" i="14"/>
  <c r="K5" i="9"/>
  <c r="F5" i="14"/>
  <c r="Q4" i="9"/>
  <c r="L4" i="14"/>
  <c r="H3" i="14"/>
  <c r="M3" i="9"/>
  <c r="R9" i="5"/>
  <c r="P20" i="9"/>
  <c r="K20" i="14"/>
  <c r="J9" i="5"/>
  <c r="H20" i="9"/>
  <c r="J2" i="14"/>
  <c r="O2" i="9"/>
  <c r="F2" i="14"/>
  <c r="K2" i="9"/>
  <c r="K11" i="14"/>
  <c r="P11" i="9"/>
  <c r="G11" i="14"/>
  <c r="L11" i="9"/>
  <c r="M12" i="14"/>
  <c r="R12" i="9"/>
  <c r="I12" i="14"/>
  <c r="N12" i="9"/>
  <c r="J13" i="9"/>
  <c r="J12" i="9"/>
  <c r="F13" i="9"/>
  <c r="F12" i="9"/>
  <c r="I2" i="14"/>
  <c r="N2" i="9"/>
  <c r="I9" i="14"/>
  <c r="N9" i="9"/>
  <c r="P8" i="9"/>
  <c r="K8" i="14"/>
  <c r="I7" i="14"/>
  <c r="N7" i="9"/>
  <c r="K6" i="14"/>
  <c r="P6" i="9"/>
  <c r="M5" i="14"/>
  <c r="R5" i="9"/>
  <c r="G4" i="14"/>
  <c r="L4" i="9"/>
  <c r="V47" i="1"/>
  <c r="R7" i="5"/>
  <c r="K19" i="14"/>
  <c r="N47" i="1"/>
  <c r="J7" i="5"/>
  <c r="Q9" i="5"/>
  <c r="J20" i="14"/>
  <c r="M9" i="5"/>
  <c r="F20" i="14"/>
  <c r="R46" i="1"/>
  <c r="M11" i="14"/>
  <c r="R11" i="9"/>
  <c r="J11" i="9"/>
  <c r="L7" i="14"/>
  <c r="H5" i="14"/>
  <c r="M5" i="9"/>
  <c r="I10" i="9"/>
  <c r="I5" i="9"/>
  <c r="J3" i="14"/>
  <c r="O3" i="9"/>
  <c r="F3" i="14"/>
  <c r="K3" i="9"/>
  <c r="I13" i="9"/>
  <c r="L12" i="9"/>
  <c r="G12" i="14"/>
  <c r="J11" i="14"/>
  <c r="O11" i="9"/>
  <c r="F11" i="14"/>
  <c r="K11" i="9"/>
  <c r="M9" i="14"/>
  <c r="R9" i="9"/>
  <c r="I5" i="14"/>
  <c r="N5" i="9"/>
  <c r="K3" i="14"/>
  <c r="P3" i="9"/>
  <c r="G3" i="14"/>
  <c r="L12" i="14"/>
  <c r="Q12" i="9"/>
  <c r="E13" i="9"/>
  <c r="E12" i="9"/>
  <c r="R47" i="1"/>
  <c r="N7" i="5"/>
  <c r="G19" i="14"/>
  <c r="L6" i="9"/>
  <c r="M7" i="14"/>
  <c r="L2" i="14"/>
  <c r="Q2" i="9"/>
  <c r="H2" i="14"/>
  <c r="M2" i="9"/>
  <c r="N11" i="9"/>
  <c r="F11" i="9"/>
  <c r="J6" i="14"/>
  <c r="O6" i="9"/>
  <c r="W41" i="1"/>
  <c r="L5" i="14"/>
  <c r="F4" i="14"/>
  <c r="K4" i="9"/>
  <c r="U47" i="1"/>
  <c r="J19" i="14"/>
  <c r="Q7" i="5"/>
  <c r="Q47" i="1"/>
  <c r="F19" i="14"/>
  <c r="M7" i="5"/>
  <c r="M47" i="1"/>
  <c r="I7" i="5"/>
  <c r="M20" i="14"/>
  <c r="T9" i="5"/>
  <c r="N46" i="1"/>
  <c r="O20" i="9"/>
  <c r="K20" i="9"/>
  <c r="G20" i="9"/>
  <c r="Q9" i="9"/>
  <c r="O8" i="9"/>
  <c r="M7" i="9"/>
  <c r="E7" i="9"/>
  <c r="O4" i="9"/>
  <c r="H3" i="9"/>
  <c r="K12" i="14"/>
  <c r="H7" i="14"/>
  <c r="G2" i="14"/>
  <c r="L2" i="9"/>
  <c r="S4" i="5"/>
  <c r="Q16" i="9"/>
  <c r="H11" i="14"/>
  <c r="K4" i="5"/>
  <c r="I16" i="9"/>
  <c r="G4" i="5"/>
  <c r="E16" i="9"/>
  <c r="J6" i="9"/>
  <c r="F6" i="9"/>
  <c r="K5" i="14"/>
  <c r="M4" i="14"/>
  <c r="R4" i="9"/>
  <c r="AI3" i="1"/>
  <c r="M3" i="14"/>
  <c r="T46" i="1"/>
  <c r="N3" i="9"/>
  <c r="P46" i="1"/>
  <c r="P48" i="1" s="1"/>
  <c r="J3" i="9"/>
  <c r="L46" i="1"/>
  <c r="G13" i="9"/>
  <c r="X47" i="1"/>
  <c r="M19" i="14"/>
  <c r="T47" i="1"/>
  <c r="P7" i="5"/>
  <c r="L47" i="1"/>
  <c r="H7" i="5"/>
  <c r="R20" i="9"/>
  <c r="N20" i="9"/>
  <c r="J20" i="9"/>
  <c r="F20" i="9"/>
  <c r="P19" i="9"/>
  <c r="L19" i="9"/>
  <c r="H19" i="9"/>
  <c r="N18" i="9"/>
  <c r="N8" i="9"/>
  <c r="L7" i="9"/>
  <c r="R6" i="9"/>
  <c r="N4" i="9"/>
  <c r="F3" i="9"/>
  <c r="I19" i="14"/>
  <c r="H12" i="14"/>
  <c r="G5" i="14"/>
  <c r="I3" i="14"/>
  <c r="T7" i="5"/>
  <c r="W46" i="1"/>
  <c r="S46" i="1"/>
  <c r="O46" i="1"/>
  <c r="K46" i="1"/>
  <c r="U46" i="1"/>
  <c r="Q46" i="1"/>
  <c r="M46" i="1"/>
  <c r="N10" i="14"/>
  <c r="G10" i="9"/>
  <c r="H13" i="9"/>
  <c r="X46" i="1"/>
  <c r="V48" i="1" l="1"/>
  <c r="AQ34" i="1"/>
  <c r="L48" i="1"/>
  <c r="T48" i="1"/>
  <c r="M48" i="1"/>
  <c r="R48" i="1"/>
  <c r="X48" i="1"/>
  <c r="U48" i="1"/>
  <c r="N48" i="1"/>
  <c r="Q48" i="1"/>
  <c r="O48" i="1"/>
  <c r="S48" i="1"/>
  <c r="W48" i="1"/>
  <c r="Q17" i="9"/>
  <c r="N41" i="1"/>
  <c r="R16" i="5"/>
  <c r="N10" i="9"/>
  <c r="J15" i="9"/>
  <c r="I10" i="14"/>
  <c r="N14" i="9"/>
  <c r="K48" i="1"/>
  <c r="S16" i="5"/>
  <c r="R14" i="5"/>
  <c r="W42" i="1"/>
  <c r="W43" i="1" s="1"/>
  <c r="S45" i="1"/>
  <c r="J17" i="9"/>
  <c r="O41" i="1"/>
  <c r="P42" i="1"/>
  <c r="J4" i="5"/>
  <c r="K16" i="5" s="1"/>
  <c r="O42" i="1"/>
  <c r="K3" i="5"/>
  <c r="I15" i="9"/>
  <c r="L4" i="5"/>
  <c r="L5" i="5" s="1"/>
  <c r="J16" i="9"/>
  <c r="I3" i="5"/>
  <c r="G15" i="9"/>
  <c r="X41" i="1"/>
  <c r="R10" i="9"/>
  <c r="M10" i="14"/>
  <c r="S41" i="1"/>
  <c r="H10" i="14"/>
  <c r="M10" i="9"/>
  <c r="T4" i="5"/>
  <c r="M16" i="14"/>
  <c r="R16" i="9"/>
  <c r="J3" i="5"/>
  <c r="H15" i="9"/>
  <c r="F10" i="14"/>
  <c r="K10" i="9"/>
  <c r="K45" i="1"/>
  <c r="E17" i="9"/>
  <c r="L41" i="1"/>
  <c r="F10" i="9"/>
  <c r="K41" i="1"/>
  <c r="E10" i="9"/>
  <c r="R3" i="5"/>
  <c r="K15" i="14"/>
  <c r="P15" i="9"/>
  <c r="K13" i="14"/>
  <c r="P13" i="9"/>
  <c r="I15" i="14"/>
  <c r="N15" i="9"/>
  <c r="P3" i="5"/>
  <c r="O4" i="5"/>
  <c r="H16" i="14"/>
  <c r="M16" i="9"/>
  <c r="G3" i="5"/>
  <c r="E15" i="9"/>
  <c r="N3" i="5"/>
  <c r="G15" i="14"/>
  <c r="L15" i="9"/>
  <c r="M13" i="14"/>
  <c r="R13" i="9"/>
  <c r="J15" i="14"/>
  <c r="Q3" i="5"/>
  <c r="O15" i="9"/>
  <c r="I4" i="5"/>
  <c r="G16" i="9"/>
  <c r="F13" i="14"/>
  <c r="K13" i="9"/>
  <c r="H13" i="14"/>
  <c r="M13" i="9"/>
  <c r="G13" i="14"/>
  <c r="L13" i="9"/>
  <c r="O45" i="1"/>
  <c r="I17" i="9"/>
  <c r="R41" i="1"/>
  <c r="G10" i="14"/>
  <c r="L10" i="9"/>
  <c r="H4" i="5"/>
  <c r="F16" i="9"/>
  <c r="J10" i="14"/>
  <c r="O10" i="9"/>
  <c r="F15" i="14"/>
  <c r="M3" i="5"/>
  <c r="K15" i="9"/>
  <c r="S14" i="5"/>
  <c r="F16" i="14"/>
  <c r="M4" i="5"/>
  <c r="K16" i="9"/>
  <c r="K10" i="14"/>
  <c r="P10" i="9"/>
  <c r="V41" i="1"/>
  <c r="P41" i="1"/>
  <c r="J10" i="9"/>
  <c r="L10" i="14"/>
  <c r="Q10" i="9"/>
  <c r="O3" i="5"/>
  <c r="M15" i="9"/>
  <c r="H15" i="14"/>
  <c r="P4" i="5"/>
  <c r="I16" i="14"/>
  <c r="N16" i="9"/>
  <c r="L13" i="14"/>
  <c r="Q13" i="9"/>
  <c r="O13" i="9"/>
  <c r="J13" i="14"/>
  <c r="R15" i="9"/>
  <c r="T3" i="5"/>
  <c r="M15" i="14"/>
  <c r="L15" i="14"/>
  <c r="S3" i="5"/>
  <c r="Q15" i="9"/>
  <c r="F15" i="9"/>
  <c r="H3" i="5"/>
  <c r="I13" i="14"/>
  <c r="N13" i="9"/>
  <c r="L16" i="9"/>
  <c r="N4" i="5"/>
  <c r="G16" i="14"/>
  <c r="M41" i="1"/>
  <c r="U41" i="1"/>
  <c r="Q41" i="1"/>
  <c r="L6" i="5" l="1"/>
  <c r="L17" i="14"/>
  <c r="W45" i="1"/>
  <c r="S8" i="5" s="1"/>
  <c r="J16" i="5"/>
  <c r="Q14" i="9"/>
  <c r="I14" i="14"/>
  <c r="T42" i="1"/>
  <c r="T43" i="1" s="1"/>
  <c r="M17" i="9"/>
  <c r="P45" i="1"/>
  <c r="L8" i="5" s="1"/>
  <c r="J14" i="9"/>
  <c r="H17" i="14"/>
  <c r="O43" i="1"/>
  <c r="L14" i="14"/>
  <c r="I14" i="9"/>
  <c r="K14" i="5"/>
  <c r="M42" i="1"/>
  <c r="M43" i="1" s="1"/>
  <c r="G14" i="9"/>
  <c r="T5" i="5"/>
  <c r="T15" i="5"/>
  <c r="T13" i="5"/>
  <c r="G8" i="5"/>
  <c r="E21" i="9"/>
  <c r="I15" i="5"/>
  <c r="I13" i="5"/>
  <c r="I5" i="5"/>
  <c r="Q45" i="1"/>
  <c r="K17" i="9"/>
  <c r="F17" i="14"/>
  <c r="H16" i="5"/>
  <c r="H14" i="5"/>
  <c r="K42" i="1"/>
  <c r="K43" i="1" s="1"/>
  <c r="E14" i="9"/>
  <c r="P43" i="1"/>
  <c r="U45" i="1"/>
  <c r="J17" i="14"/>
  <c r="O17" i="9"/>
  <c r="P5" i="5"/>
  <c r="P15" i="5"/>
  <c r="P13" i="5"/>
  <c r="V45" i="1"/>
  <c r="K17" i="14"/>
  <c r="P17" i="9"/>
  <c r="J15" i="5"/>
  <c r="J5" i="5"/>
  <c r="J13" i="5"/>
  <c r="M45" i="1"/>
  <c r="G17" i="9"/>
  <c r="L16" i="5"/>
  <c r="L14" i="5"/>
  <c r="R45" i="1"/>
  <c r="G17" i="14"/>
  <c r="L17" i="9"/>
  <c r="O5" i="5"/>
  <c r="O13" i="5"/>
  <c r="O15" i="5"/>
  <c r="L45" i="1"/>
  <c r="F17" i="9"/>
  <c r="T45" i="1"/>
  <c r="I17" i="14"/>
  <c r="N17" i="9"/>
  <c r="R15" i="5"/>
  <c r="R13" i="5"/>
  <c r="R5" i="5"/>
  <c r="N45" i="1"/>
  <c r="H17" i="9"/>
  <c r="T16" i="5"/>
  <c r="T14" i="5"/>
  <c r="P16" i="5"/>
  <c r="P14" i="5"/>
  <c r="U42" i="1"/>
  <c r="U43" i="1" s="1"/>
  <c r="J14" i="14"/>
  <c r="O14" i="9"/>
  <c r="N42" i="1"/>
  <c r="N43" i="1" s="1"/>
  <c r="H14" i="9"/>
  <c r="N16" i="5"/>
  <c r="N14" i="5"/>
  <c r="X45" i="1"/>
  <c r="M17" i="14"/>
  <c r="R17" i="9"/>
  <c r="M14" i="5"/>
  <c r="M16" i="5"/>
  <c r="Q16" i="5"/>
  <c r="N15" i="5"/>
  <c r="N13" i="5"/>
  <c r="N5" i="5"/>
  <c r="H21" i="14"/>
  <c r="O8" i="5"/>
  <c r="M21" i="9"/>
  <c r="Q42" i="1"/>
  <c r="Q43" i="1" s="1"/>
  <c r="F14" i="14"/>
  <c r="K14" i="9"/>
  <c r="V42" i="1"/>
  <c r="V43" i="1" s="1"/>
  <c r="K14" i="14"/>
  <c r="P14" i="9"/>
  <c r="S5" i="5"/>
  <c r="S15" i="5"/>
  <c r="S13" i="5"/>
  <c r="G5" i="5"/>
  <c r="R42" i="1"/>
  <c r="R43" i="1" s="1"/>
  <c r="G14" i="14"/>
  <c r="L14" i="9"/>
  <c r="H5" i="5"/>
  <c r="H15" i="5"/>
  <c r="H13" i="5"/>
  <c r="M15" i="5"/>
  <c r="M5" i="5"/>
  <c r="M13" i="5"/>
  <c r="K8" i="5"/>
  <c r="I21" i="9"/>
  <c r="I14" i="5"/>
  <c r="I16" i="5"/>
  <c r="J14" i="5"/>
  <c r="Q5" i="5"/>
  <c r="Q13" i="5"/>
  <c r="Q15" i="5"/>
  <c r="Q14" i="5"/>
  <c r="X42" i="1"/>
  <c r="X43" i="1" s="1"/>
  <c r="M14" i="14"/>
  <c r="R14" i="9"/>
  <c r="O16" i="5"/>
  <c r="O14" i="5"/>
  <c r="S42" i="1"/>
  <c r="S43" i="1" s="1"/>
  <c r="H14" i="14"/>
  <c r="M14" i="9"/>
  <c r="L42" i="1"/>
  <c r="L43" i="1" s="1"/>
  <c r="F14" i="9"/>
  <c r="K5" i="5"/>
  <c r="K13" i="5"/>
  <c r="K15" i="5"/>
  <c r="L13" i="5"/>
  <c r="L15" i="5"/>
  <c r="N20" i="14"/>
  <c r="T6" i="5" l="1"/>
  <c r="K6" i="5"/>
  <c r="S6" i="5"/>
  <c r="P6" i="5"/>
  <c r="H6" i="5"/>
  <c r="M6" i="5"/>
  <c r="G6" i="5"/>
  <c r="N6" i="5"/>
  <c r="O6" i="5"/>
  <c r="R6" i="5"/>
  <c r="Q6" i="5"/>
  <c r="I6" i="5"/>
  <c r="J6" i="5"/>
  <c r="L21" i="14"/>
  <c r="Q21" i="9"/>
  <c r="J21" i="9"/>
  <c r="G21" i="14"/>
  <c r="L21" i="9"/>
  <c r="N8" i="5"/>
  <c r="M8" i="5"/>
  <c r="F21" i="14"/>
  <c r="K21" i="9"/>
  <c r="T8" i="5"/>
  <c r="M21" i="14"/>
  <c r="R21" i="9"/>
  <c r="Q8" i="5"/>
  <c r="J21" i="14"/>
  <c r="O21" i="9"/>
  <c r="L12" i="5"/>
  <c r="L10" i="5"/>
  <c r="O12" i="5"/>
  <c r="O10" i="5"/>
  <c r="J8" i="5"/>
  <c r="H21" i="9"/>
  <c r="H8" i="5"/>
  <c r="F21" i="9"/>
  <c r="K21" i="14"/>
  <c r="R8" i="5"/>
  <c r="P21" i="9"/>
  <c r="G12" i="5"/>
  <c r="K12" i="5"/>
  <c r="K10" i="5"/>
  <c r="P8" i="5"/>
  <c r="I21" i="14"/>
  <c r="N21" i="9"/>
  <c r="I8" i="5"/>
  <c r="G21" i="9"/>
  <c r="S10" i="5"/>
  <c r="S12" i="5"/>
  <c r="Q4" i="14"/>
  <c r="R4" i="14"/>
  <c r="S4" i="14"/>
  <c r="T4" i="14"/>
  <c r="P4" i="14"/>
  <c r="P12" i="5" l="1"/>
  <c r="P10" i="5"/>
  <c r="I12" i="5"/>
  <c r="I10" i="5"/>
  <c r="H12" i="5"/>
  <c r="H10" i="5"/>
  <c r="T12" i="5"/>
  <c r="T10" i="5"/>
  <c r="N12" i="5"/>
  <c r="N10" i="5"/>
  <c r="M12" i="5"/>
  <c r="M10" i="5"/>
  <c r="R12" i="5"/>
  <c r="R10" i="5"/>
  <c r="Q12" i="5"/>
  <c r="Q10" i="5"/>
  <c r="J12" i="5"/>
  <c r="J10" i="5"/>
  <c r="L3" i="17"/>
  <c r="AK4" i="1" l="1"/>
  <c r="P3" i="14" l="1"/>
  <c r="P2" i="14" l="1"/>
  <c r="Q2" i="14"/>
  <c r="R2" i="14"/>
  <c r="S2" i="14"/>
  <c r="T2" i="14"/>
  <c r="D14" i="13" l="1"/>
  <c r="E14" i="13"/>
  <c r="F14" i="13"/>
  <c r="G14" i="13"/>
  <c r="C14" i="13"/>
  <c r="D13" i="13"/>
  <c r="E13" i="13"/>
  <c r="F13" i="13"/>
  <c r="G13" i="13"/>
  <c r="C13" i="13"/>
  <c r="X2" i="5"/>
  <c r="Y2" i="5"/>
  <c r="Z2" i="5"/>
  <c r="AA2" i="5"/>
  <c r="X7" i="5"/>
  <c r="Y7" i="5"/>
  <c r="Z7" i="5"/>
  <c r="AA7" i="5"/>
  <c r="X11" i="5"/>
  <c r="Y11" i="5"/>
  <c r="Z11" i="5"/>
  <c r="AA11" i="5"/>
  <c r="W7" i="5"/>
  <c r="W11" i="5"/>
  <c r="U11" i="5"/>
  <c r="F2" i="16"/>
  <c r="G2" i="16"/>
  <c r="H2" i="16"/>
  <c r="I2" i="16"/>
  <c r="X2" i="9"/>
  <c r="Y2" i="9"/>
  <c r="X5" i="9"/>
  <c r="Y5" i="9"/>
  <c r="X7" i="9"/>
  <c r="Y7" i="9"/>
  <c r="X8" i="9"/>
  <c r="Y8" i="9"/>
  <c r="X9" i="9"/>
  <c r="Y9" i="9"/>
  <c r="X12" i="9"/>
  <c r="Y12" i="9"/>
  <c r="X18" i="9"/>
  <c r="Y18" i="9"/>
  <c r="X19" i="9"/>
  <c r="Y19" i="9"/>
  <c r="X24" i="9"/>
  <c r="Y24" i="9"/>
  <c r="AO4" i="1"/>
  <c r="AP4" i="1"/>
  <c r="AO5" i="1"/>
  <c r="AP5" i="1"/>
  <c r="AO6" i="1"/>
  <c r="AP6" i="1"/>
  <c r="AO7" i="1"/>
  <c r="AP7" i="1"/>
  <c r="AO8" i="1"/>
  <c r="AP8" i="1"/>
  <c r="AO9" i="1"/>
  <c r="AP9" i="1"/>
  <c r="AO10" i="1"/>
  <c r="AP10" i="1"/>
  <c r="AO11" i="1"/>
  <c r="AP11" i="1"/>
  <c r="AO12" i="1"/>
  <c r="AP12" i="1"/>
  <c r="AO14" i="1"/>
  <c r="AP14" i="1"/>
  <c r="AO15" i="1"/>
  <c r="AP15" i="1"/>
  <c r="AO16" i="1"/>
  <c r="AP16" i="1"/>
  <c r="AO17" i="1"/>
  <c r="AP17" i="1"/>
  <c r="AO18" i="1"/>
  <c r="AP18" i="1"/>
  <c r="AO20" i="1"/>
  <c r="AP20" i="1"/>
  <c r="AO21" i="1"/>
  <c r="AP21" i="1"/>
  <c r="AO22" i="1"/>
  <c r="AP22" i="1"/>
  <c r="AO26" i="1"/>
  <c r="AP26" i="1"/>
  <c r="AO27" i="1"/>
  <c r="AP27" i="1"/>
  <c r="AO29" i="1"/>
  <c r="AP29" i="1"/>
  <c r="AO30" i="1"/>
  <c r="AP30" i="1"/>
  <c r="AO31" i="1"/>
  <c r="AP31" i="1"/>
  <c r="AG37" i="1"/>
  <c r="Z2" i="1"/>
  <c r="AB3" i="1"/>
  <c r="AB34" i="1" s="1"/>
  <c r="AC3" i="1"/>
  <c r="AD3" i="1"/>
  <c r="AE3" i="1"/>
  <c r="AE34" i="1" s="1"/>
  <c r="AB19" i="1"/>
  <c r="AC19" i="1"/>
  <c r="AD19" i="1"/>
  <c r="AE19" i="1"/>
  <c r="AB47" i="1"/>
  <c r="AC47" i="1"/>
  <c r="AD47" i="1"/>
  <c r="AE47" i="1"/>
  <c r="Z3" i="1"/>
  <c r="Z18" i="1"/>
  <c r="O5" i="14" s="1"/>
  <c r="O7" i="14"/>
  <c r="O8" i="14"/>
  <c r="O9" i="14"/>
  <c r="Z23" i="1"/>
  <c r="Z24" i="1"/>
  <c r="Z35" i="1" s="1"/>
  <c r="O12" i="14"/>
  <c r="Z32" i="1"/>
  <c r="O13" i="14" s="1"/>
  <c r="Z33" i="1"/>
  <c r="AA49" i="1"/>
  <c r="O19" i="14"/>
  <c r="N19" i="14"/>
  <c r="N12" i="14"/>
  <c r="S3" i="14" l="1"/>
  <c r="AD34" i="1"/>
  <c r="S15" i="14" s="1"/>
  <c r="R3" i="14"/>
  <c r="AC34" i="1"/>
  <c r="R15" i="14" s="1"/>
  <c r="O10" i="14"/>
  <c r="Q3" i="14"/>
  <c r="AM3" i="1"/>
  <c r="AB49" i="1"/>
  <c r="P23" i="14"/>
  <c r="Z39" i="1"/>
  <c r="Z44" i="1" s="1"/>
  <c r="AL3" i="1"/>
  <c r="AK3" i="1"/>
  <c r="O2" i="14"/>
  <c r="L1" i="17"/>
  <c r="S6" i="14"/>
  <c r="AD23" i="1"/>
  <c r="S10" i="14" s="1"/>
  <c r="T6" i="14"/>
  <c r="AE23" i="1"/>
  <c r="R6" i="14"/>
  <c r="AC23" i="1"/>
  <c r="R10" i="14" s="1"/>
  <c r="Q6" i="14"/>
  <c r="AB23" i="1"/>
  <c r="Q10" i="14" s="1"/>
  <c r="T22" i="9"/>
  <c r="N18" i="14"/>
  <c r="M22" i="14"/>
  <c r="T3" i="14"/>
  <c r="AP25" i="1"/>
  <c r="AI11" i="1"/>
  <c r="AI9" i="1"/>
  <c r="AI7" i="1"/>
  <c r="AI5" i="1"/>
  <c r="AJ6" i="1"/>
  <c r="AJ10" i="1"/>
  <c r="O14" i="14"/>
  <c r="AJ4" i="1"/>
  <c r="AJ12" i="1"/>
  <c r="AJ8" i="1"/>
  <c r="AC24" i="1"/>
  <c r="AC35" i="1" s="1"/>
  <c r="AP28" i="1"/>
  <c r="AO28" i="1"/>
  <c r="AD24" i="1"/>
  <c r="AD35" i="1" s="1"/>
  <c r="AH11" i="1"/>
  <c r="AH9" i="1"/>
  <c r="AH7" i="1"/>
  <c r="AJ14" i="1"/>
  <c r="AI14" i="1"/>
  <c r="AI10" i="1"/>
  <c r="AJ7" i="1"/>
  <c r="AJ11" i="1"/>
  <c r="AH13" i="1"/>
  <c r="AH5" i="1"/>
  <c r="AI13" i="1"/>
  <c r="AJ13" i="1"/>
  <c r="AJ5" i="1"/>
  <c r="AJ9" i="1"/>
  <c r="AI8" i="1"/>
  <c r="AI6" i="1"/>
  <c r="AI4" i="1"/>
  <c r="AH14" i="1"/>
  <c r="AH12" i="1"/>
  <c r="AH10" i="1"/>
  <c r="AH8" i="1"/>
  <c r="AH6" i="1"/>
  <c r="AH4" i="1"/>
  <c r="AL14" i="1"/>
  <c r="AK14" i="1"/>
  <c r="AK10" i="1"/>
  <c r="AL10" i="1"/>
  <c r="AK6" i="1"/>
  <c r="AL6" i="1"/>
  <c r="O18" i="14"/>
  <c r="AL9" i="1"/>
  <c r="AK5" i="1"/>
  <c r="AL5" i="1"/>
  <c r="AK12" i="1"/>
  <c r="AK8" i="1"/>
  <c r="AL8" i="1"/>
  <c r="AK11" i="1"/>
  <c r="AL11" i="1"/>
  <c r="AK7" i="1"/>
  <c r="AL7" i="1"/>
  <c r="Y4" i="9"/>
  <c r="O3" i="14"/>
  <c r="AK25" i="1"/>
  <c r="O11" i="14"/>
  <c r="H14" i="13"/>
  <c r="AB7" i="5"/>
  <c r="AP19" i="1"/>
  <c r="X6" i="9"/>
  <c r="AO19" i="1"/>
  <c r="X4" i="9"/>
  <c r="Y3" i="9"/>
  <c r="AE46" i="1"/>
  <c r="AE48" i="1" s="1"/>
  <c r="AO3" i="1"/>
  <c r="AD46" i="1"/>
  <c r="AD48" i="1" s="1"/>
  <c r="Z41" i="1"/>
  <c r="Y47" i="1"/>
  <c r="U7" i="5"/>
  <c r="Y40" i="1"/>
  <c r="AJ3" i="1"/>
  <c r="Y6" i="9"/>
  <c r="AO13" i="1"/>
  <c r="Q15" i="14"/>
  <c r="AC46" i="1"/>
  <c r="AC48" i="1" s="1"/>
  <c r="AP13" i="1"/>
  <c r="AB46" i="1"/>
  <c r="AB48" i="1" s="1"/>
  <c r="X3" i="9"/>
  <c r="AP3" i="1"/>
  <c r="Z47" i="1"/>
  <c r="AD36" i="1" l="1"/>
  <c r="AC36" i="1"/>
  <c r="O16" i="14"/>
  <c r="T16" i="9"/>
  <c r="AC49" i="1"/>
  <c r="Q23" i="14"/>
  <c r="T15" i="14"/>
  <c r="AY34" i="1"/>
  <c r="R11" i="14"/>
  <c r="R16" i="14"/>
  <c r="T10" i="14"/>
  <c r="U22" i="9"/>
  <c r="E9" i="16"/>
  <c r="D4" i="13"/>
  <c r="N22" i="14"/>
  <c r="Q25" i="14"/>
  <c r="P25" i="14"/>
  <c r="O25" i="14"/>
  <c r="X11" i="9"/>
  <c r="S11" i="14"/>
  <c r="AE24" i="1"/>
  <c r="AO25" i="1"/>
  <c r="AC32" i="1"/>
  <c r="R13" i="14" s="1"/>
  <c r="S16" i="14"/>
  <c r="AD32" i="1"/>
  <c r="S13" i="14" s="1"/>
  <c r="AO24" i="1"/>
  <c r="Z42" i="1"/>
  <c r="Z43" i="1" s="1"/>
  <c r="Z40" i="1"/>
  <c r="Y46" i="1"/>
  <c r="Y48" i="1" s="1"/>
  <c r="I3" i="16"/>
  <c r="G3" i="16"/>
  <c r="F3" i="16"/>
  <c r="AE41" i="1"/>
  <c r="Y10" i="9"/>
  <c r="AB41" i="1"/>
  <c r="X10" i="9"/>
  <c r="AO46" i="1"/>
  <c r="AP23" i="1"/>
  <c r="H3" i="16"/>
  <c r="AP34" i="1"/>
  <c r="AA3" i="5"/>
  <c r="X3" i="5"/>
  <c r="Y15" i="9"/>
  <c r="AP46" i="1"/>
  <c r="AD41" i="1"/>
  <c r="N13" i="14"/>
  <c r="N15" i="14"/>
  <c r="AW34" i="1"/>
  <c r="Y3" i="5"/>
  <c r="AC41" i="1"/>
  <c r="AO23" i="1"/>
  <c r="Z3" i="5"/>
  <c r="AO34" i="1"/>
  <c r="X15" i="9"/>
  <c r="AX34" i="1"/>
  <c r="AR34" i="1"/>
  <c r="AR35" i="1"/>
  <c r="D9" i="16"/>
  <c r="AE35" i="1" l="1"/>
  <c r="AE36" i="1" s="1"/>
  <c r="AD49" i="1"/>
  <c r="S23" i="14" s="1"/>
  <c r="R23" i="14"/>
  <c r="D10" i="13"/>
  <c r="B6" i="13"/>
  <c r="V22" i="9"/>
  <c r="T11" i="14"/>
  <c r="R25" i="14"/>
  <c r="Q22" i="14"/>
  <c r="P22" i="14"/>
  <c r="AS35" i="1"/>
  <c r="N16" i="14"/>
  <c r="AP24" i="1"/>
  <c r="AE32" i="1"/>
  <c r="T13" i="14" s="1"/>
  <c r="Y11" i="9"/>
  <c r="G4" i="16"/>
  <c r="AC33" i="1"/>
  <c r="R14" i="14" s="1"/>
  <c r="AD33" i="1"/>
  <c r="AD39" i="1" s="1"/>
  <c r="AX35" i="1"/>
  <c r="AX36" i="1" s="1"/>
  <c r="H4" i="16"/>
  <c r="AO32" i="1"/>
  <c r="Z4" i="5"/>
  <c r="X13" i="9"/>
  <c r="AD53" i="1"/>
  <c r="X16" i="9"/>
  <c r="AO35" i="1"/>
  <c r="Y4" i="5"/>
  <c r="AC53" i="1"/>
  <c r="AQ36" i="1"/>
  <c r="AT35" i="1"/>
  <c r="O22" i="14"/>
  <c r="C2" i="13"/>
  <c r="AS34" i="1"/>
  <c r="U4" i="5"/>
  <c r="U16" i="5" s="1"/>
  <c r="AP41" i="1"/>
  <c r="AA15" i="5"/>
  <c r="AO41" i="1"/>
  <c r="U3" i="5"/>
  <c r="Y41" i="1"/>
  <c r="N14" i="14"/>
  <c r="AA13" i="5"/>
  <c r="Y13" i="5"/>
  <c r="Y15" i="5"/>
  <c r="Z13" i="5"/>
  <c r="Z15" i="5"/>
  <c r="AR36" i="1"/>
  <c r="AE53" i="1" l="1"/>
  <c r="AE45" i="1"/>
  <c r="Q2" i="17"/>
  <c r="O2" i="17"/>
  <c r="W25" i="9"/>
  <c r="R26" i="14" s="1"/>
  <c r="P2" i="17"/>
  <c r="X25" i="9"/>
  <c r="S26" i="14" s="1"/>
  <c r="W22" i="9"/>
  <c r="R17" i="14"/>
  <c r="AS36" i="1"/>
  <c r="T25" i="14"/>
  <c r="N17" i="14"/>
  <c r="AA4" i="5"/>
  <c r="AA5" i="5" s="1"/>
  <c r="T16" i="14"/>
  <c r="S17" i="14"/>
  <c r="AD42" i="1"/>
  <c r="AD43" i="1" s="1"/>
  <c r="S14" i="14"/>
  <c r="AY35" i="1"/>
  <c r="AY36" i="1" s="1"/>
  <c r="AP35" i="1"/>
  <c r="Y16" i="9"/>
  <c r="AP32" i="1"/>
  <c r="I4" i="16"/>
  <c r="Y13" i="9"/>
  <c r="AE33" i="1"/>
  <c r="AC39" i="1"/>
  <c r="AC42" i="1" s="1"/>
  <c r="X14" i="9"/>
  <c r="AO33" i="1"/>
  <c r="G5" i="16"/>
  <c r="H5" i="16"/>
  <c r="AC45" i="1"/>
  <c r="R21" i="14" s="1"/>
  <c r="F16" i="13"/>
  <c r="AD45" i="1"/>
  <c r="S21" i="14" s="1"/>
  <c r="X17" i="9"/>
  <c r="Z5" i="5"/>
  <c r="AO36" i="1"/>
  <c r="Z16" i="5"/>
  <c r="Y5" i="5"/>
  <c r="Z14" i="5"/>
  <c r="E16" i="13"/>
  <c r="U5" i="5"/>
  <c r="U14" i="5"/>
  <c r="U13" i="5"/>
  <c r="U15" i="5"/>
  <c r="M24" i="14"/>
  <c r="Y45" i="1"/>
  <c r="N21" i="14" s="1"/>
  <c r="AH15" i="1"/>
  <c r="AI15" i="1"/>
  <c r="AL15" i="1"/>
  <c r="AM15" i="1"/>
  <c r="AN15" i="1"/>
  <c r="AL16" i="1"/>
  <c r="AM16" i="1"/>
  <c r="AN16" i="1"/>
  <c r="AL17" i="1"/>
  <c r="AM17" i="1"/>
  <c r="AG17" i="1" s="1"/>
  <c r="AN17" i="1"/>
  <c r="AL18" i="1"/>
  <c r="AM18" i="1"/>
  <c r="AG18" i="1" s="1"/>
  <c r="AN18" i="1"/>
  <c r="AL20" i="1"/>
  <c r="AM20" i="1"/>
  <c r="AN20" i="1"/>
  <c r="AL21" i="1"/>
  <c r="AM21" i="1"/>
  <c r="AG21" i="1" s="1"/>
  <c r="AN21" i="1"/>
  <c r="AL22" i="1"/>
  <c r="AM22" i="1"/>
  <c r="AN22" i="1"/>
  <c r="Z6" i="5" l="1"/>
  <c r="AA6" i="5"/>
  <c r="Y6" i="5"/>
  <c r="U6" i="5"/>
  <c r="AG15" i="1"/>
  <c r="AG22" i="1"/>
  <c r="AG20" i="1"/>
  <c r="AG16" i="1"/>
  <c r="Y25" i="9"/>
  <c r="T26" i="14" s="1"/>
  <c r="AE49" i="1"/>
  <c r="X22" i="9"/>
  <c r="T14" i="14"/>
  <c r="AE39" i="1"/>
  <c r="AE40" i="1" s="1"/>
  <c r="S25" i="14"/>
  <c r="AA16" i="5"/>
  <c r="AA14" i="5"/>
  <c r="AD40" i="1"/>
  <c r="T17" i="14"/>
  <c r="Y17" i="9"/>
  <c r="AP36" i="1"/>
  <c r="AP33" i="1"/>
  <c r="G16" i="13"/>
  <c r="Y14" i="9"/>
  <c r="I5" i="16"/>
  <c r="AC40" i="1"/>
  <c r="AO45" i="1"/>
  <c r="G8" i="16"/>
  <c r="Y8" i="5"/>
  <c r="E15" i="13"/>
  <c r="X21" i="9"/>
  <c r="F15" i="13"/>
  <c r="Z8" i="5"/>
  <c r="R24" i="14" s="1"/>
  <c r="H8" i="16"/>
  <c r="Y42" i="1"/>
  <c r="Y43" i="1" s="1"/>
  <c r="U8" i="5"/>
  <c r="N24" i="14" s="1"/>
  <c r="AC43" i="1"/>
  <c r="AO42" i="1"/>
  <c r="Y22" i="9" l="1"/>
  <c r="T23" i="14"/>
  <c r="I8" i="16"/>
  <c r="T21" i="14"/>
  <c r="Y12" i="5"/>
  <c r="Q24" i="14"/>
  <c r="AP45" i="1"/>
  <c r="Y21" i="9"/>
  <c r="AA8" i="5"/>
  <c r="G15" i="13"/>
  <c r="AE42" i="1"/>
  <c r="AE43" i="1" s="1"/>
  <c r="Z12" i="5"/>
  <c r="U9" i="5"/>
  <c r="U10" i="5"/>
  <c r="U12" i="5"/>
  <c r="AF4" i="1"/>
  <c r="AF7" i="1"/>
  <c r="AF9" i="1"/>
  <c r="AF10" i="1"/>
  <c r="AF12" i="1"/>
  <c r="AH16" i="1"/>
  <c r="AI18" i="1"/>
  <c r="AF19" i="1"/>
  <c r="AH19" i="1"/>
  <c r="AA19" i="1"/>
  <c r="AF20" i="1"/>
  <c r="AH20" i="1"/>
  <c r="AH22" i="1"/>
  <c r="AI22" i="1"/>
  <c r="P6" i="14" l="1"/>
  <c r="AA23" i="1"/>
  <c r="AF24" i="1"/>
  <c r="AF13" i="1"/>
  <c r="AA12" i="5"/>
  <c r="S24" i="14"/>
  <c r="AP42" i="1"/>
  <c r="O28" i="14"/>
  <c r="O20" i="14"/>
  <c r="AJ17" i="1"/>
  <c r="AH17" i="1"/>
  <c r="AH21" i="1"/>
  <c r="AI20" i="1"/>
  <c r="AI19" i="1"/>
  <c r="AI21" i="1"/>
  <c r="AH18" i="1"/>
  <c r="AI16" i="1"/>
  <c r="AJ21" i="1"/>
  <c r="AK21" i="1"/>
  <c r="AK17" i="1"/>
  <c r="AJ18" i="1"/>
  <c r="AK18" i="1"/>
  <c r="AK15" i="1"/>
  <c r="AJ15" i="1"/>
  <c r="AJ16" i="1"/>
  <c r="AK16" i="1"/>
  <c r="AJ22" i="1"/>
  <c r="AK22" i="1"/>
  <c r="AJ20" i="1"/>
  <c r="AK20" i="1"/>
  <c r="AJ19" i="1"/>
  <c r="P15" i="14"/>
  <c r="P10" i="14" l="1"/>
  <c r="AF34" i="1"/>
  <c r="AF23" i="1"/>
  <c r="W3" i="5"/>
  <c r="AB3" i="5" s="1"/>
  <c r="AV34" i="1"/>
  <c r="G42" i="1"/>
  <c r="AI17" i="1"/>
  <c r="F6" i="16" l="1"/>
  <c r="X13" i="5"/>
  <c r="X15" i="5"/>
  <c r="R22" i="14" l="1"/>
  <c r="G6" i="16"/>
  <c r="AN8" i="1"/>
  <c r="AM8" i="1"/>
  <c r="AG8" i="1" l="1"/>
  <c r="T22" i="14"/>
  <c r="S22" i="14"/>
  <c r="H6" i="16"/>
  <c r="G44" i="1"/>
  <c r="H44" i="1"/>
  <c r="I44" i="1"/>
  <c r="J44" i="1"/>
  <c r="I6" i="16" l="1"/>
  <c r="AM19" i="1" l="1"/>
  <c r="E2" i="16" l="1"/>
  <c r="A8" i="16"/>
  <c r="D7" i="16"/>
  <c r="C7" i="16"/>
  <c r="A7" i="16"/>
  <c r="C6" i="16"/>
  <c r="A6" i="16"/>
  <c r="D5" i="16"/>
  <c r="A5" i="16"/>
  <c r="D4" i="16"/>
  <c r="C4" i="16"/>
  <c r="A4" i="16"/>
  <c r="D3" i="16"/>
  <c r="C3" i="16"/>
  <c r="A3" i="16"/>
  <c r="D2" i="16"/>
  <c r="C2" i="16"/>
  <c r="A2" i="16"/>
  <c r="J1" i="16"/>
  <c r="F7" i="16" l="1"/>
  <c r="C1" i="9"/>
  <c r="T2" i="9"/>
  <c r="U2" i="9"/>
  <c r="V2" i="9"/>
  <c r="W2" i="9"/>
  <c r="S2" i="9"/>
  <c r="V28" i="9"/>
  <c r="Z25" i="9"/>
  <c r="Z24" i="9"/>
  <c r="W24" i="9"/>
  <c r="V24" i="9"/>
  <c r="U24" i="9"/>
  <c r="T5" i="9"/>
  <c r="U5" i="9"/>
  <c r="V5" i="9"/>
  <c r="W5" i="9"/>
  <c r="T7" i="9"/>
  <c r="U7" i="9"/>
  <c r="V7" i="9"/>
  <c r="W7" i="9"/>
  <c r="T8" i="9"/>
  <c r="U8" i="9"/>
  <c r="V8" i="9"/>
  <c r="W8" i="9"/>
  <c r="T9" i="9"/>
  <c r="U9" i="9"/>
  <c r="V9" i="9"/>
  <c r="W9" i="9"/>
  <c r="T12" i="9"/>
  <c r="U12" i="9"/>
  <c r="V12" i="9"/>
  <c r="W12" i="9"/>
  <c r="T18" i="9"/>
  <c r="U18" i="9"/>
  <c r="V18" i="9"/>
  <c r="W18" i="9"/>
  <c r="T19" i="9"/>
  <c r="U19" i="9"/>
  <c r="V19" i="9"/>
  <c r="W19" i="9"/>
  <c r="V11" i="5"/>
  <c r="V7" i="5"/>
  <c r="W2" i="5"/>
  <c r="V2" i="5"/>
  <c r="G7" i="16" l="1"/>
  <c r="S3" i="9"/>
  <c r="S6" i="9"/>
  <c r="S10" i="9"/>
  <c r="S9" i="9"/>
  <c r="S7" i="9"/>
  <c r="S13" i="9"/>
  <c r="S5" i="9"/>
  <c r="S4" i="9"/>
  <c r="S8" i="9"/>
  <c r="S14" i="9"/>
  <c r="AL28" i="1"/>
  <c r="AL26" i="1"/>
  <c r="AK26" i="1"/>
  <c r="AL25" i="1"/>
  <c r="AN31" i="1"/>
  <c r="AM31" i="1"/>
  <c r="AL31" i="1"/>
  <c r="AK30" i="1"/>
  <c r="AN29" i="1"/>
  <c r="AM29" i="1"/>
  <c r="AL29" i="1"/>
  <c r="AM28" i="1"/>
  <c r="AK28" i="1"/>
  <c r="AN27" i="1"/>
  <c r="AM27" i="1"/>
  <c r="AL27" i="1"/>
  <c r="AK27" i="1"/>
  <c r="AM26" i="1"/>
  <c r="AN14" i="1"/>
  <c r="AM14" i="1"/>
  <c r="AN12" i="1"/>
  <c r="AM12" i="1"/>
  <c r="AN11" i="1"/>
  <c r="AM11" i="1"/>
  <c r="AN10" i="1"/>
  <c r="AM10" i="1"/>
  <c r="AN9" i="1"/>
  <c r="AM9" i="1"/>
  <c r="AN7" i="1"/>
  <c r="AM7" i="1"/>
  <c r="AN6" i="1"/>
  <c r="AM6" i="1"/>
  <c r="AN5" i="1"/>
  <c r="AM5" i="1"/>
  <c r="AN4" i="1"/>
  <c r="AM4" i="1"/>
  <c r="AH30" i="1"/>
  <c r="AQ5" i="1" l="1"/>
  <c r="AQ12" i="1"/>
  <c r="AQ11" i="1"/>
  <c r="AQ7" i="1"/>
  <c r="AQ6" i="1"/>
  <c r="AQ10" i="1"/>
  <c r="AQ4" i="1"/>
  <c r="AQ9" i="1"/>
  <c r="AG27" i="1"/>
  <c r="AG7" i="1"/>
  <c r="AG5" i="1"/>
  <c r="AG10" i="1"/>
  <c r="AG12" i="1"/>
  <c r="AG14" i="1"/>
  <c r="AG11" i="1"/>
  <c r="AG9" i="1"/>
  <c r="AG6" i="1"/>
  <c r="AG4" i="1"/>
  <c r="X23" i="9"/>
  <c r="H7" i="16"/>
  <c r="AN28" i="1"/>
  <c r="AG28" i="1" s="1"/>
  <c r="AN26" i="1"/>
  <c r="AG26" i="1" s="1"/>
  <c r="AM25" i="1"/>
  <c r="AN25" i="1"/>
  <c r="AG25" i="1" l="1"/>
  <c r="I7" i="16"/>
  <c r="Y23" i="9"/>
  <c r="AN19" i="1" l="1"/>
  <c r="AG19" i="1" s="1"/>
  <c r="AJ25" i="1"/>
  <c r="AH27" i="1" l="1"/>
  <c r="AH25" i="1"/>
  <c r="AH29" i="1"/>
  <c r="AH26" i="1"/>
  <c r="AH28" i="1"/>
  <c r="AH24" i="1"/>
  <c r="W11" i="9"/>
  <c r="V6" i="9"/>
  <c r="W6" i="9"/>
  <c r="U4" i="9"/>
  <c r="V4" i="9"/>
  <c r="W4" i="9"/>
  <c r="W3" i="9"/>
  <c r="V3" i="9"/>
  <c r="AN13" i="1"/>
  <c r="AM13" i="1"/>
  <c r="AN3" i="1"/>
  <c r="AQ3" i="1" s="1"/>
  <c r="AG3" i="1" l="1"/>
  <c r="AG13" i="1"/>
  <c r="AH35" i="1"/>
  <c r="AH41" i="1"/>
  <c r="AH46" i="1"/>
  <c r="AH23" i="1"/>
  <c r="AH32" i="1"/>
  <c r="AH34" i="1"/>
  <c r="W13" i="9"/>
  <c r="W16" i="9"/>
  <c r="W15" i="9"/>
  <c r="V15" i="9"/>
  <c r="V10" i="9"/>
  <c r="W10" i="9"/>
  <c r="AN46" i="1"/>
  <c r="AN34" i="1"/>
  <c r="AN23" i="1"/>
  <c r="AA24" i="9"/>
  <c r="AH33" i="1" l="1"/>
  <c r="AN41" i="1"/>
  <c r="K24" i="14"/>
  <c r="AH36" i="1"/>
  <c r="W17" i="9"/>
  <c r="W14" i="9"/>
  <c r="S23" i="9" l="1"/>
  <c r="L24" i="14"/>
  <c r="AH45" i="1"/>
  <c r="W21" i="9"/>
  <c r="AH42" i="1" l="1"/>
  <c r="S19" i="9" l="1"/>
  <c r="E7" i="16" l="1"/>
  <c r="U23" i="9"/>
  <c r="V23" i="9" l="1"/>
  <c r="C4" i="15"/>
  <c r="C5" i="15" s="1"/>
  <c r="D4" i="15"/>
  <c r="D5" i="15" s="1"/>
  <c r="E4" i="15"/>
  <c r="E5" i="15" s="1"/>
  <c r="F4" i="15"/>
  <c r="F5" i="15" s="1"/>
  <c r="G4" i="15"/>
  <c r="G5" i="15" s="1"/>
  <c r="H4" i="15"/>
  <c r="H5" i="15" s="1"/>
  <c r="B4" i="15"/>
  <c r="B5" i="15" s="1"/>
  <c r="W23" i="9" l="1"/>
  <c r="S18" i="9" l="1"/>
  <c r="B5" i="13" l="1"/>
  <c r="I14" i="13"/>
  <c r="AJ26" i="1" l="1"/>
  <c r="C44" i="1" l="1"/>
  <c r="F9" i="13" l="1"/>
  <c r="AA47" i="1" l="1"/>
  <c r="U6" i="9" l="1"/>
  <c r="U3" i="9"/>
  <c r="AA46" i="1"/>
  <c r="AM46" i="1" l="1"/>
  <c r="AA48" i="1"/>
  <c r="U15" i="9"/>
  <c r="AM23" i="1"/>
  <c r="AG23" i="1" s="1"/>
  <c r="E3" i="16"/>
  <c r="U10" i="9"/>
  <c r="AM34" i="1"/>
  <c r="AG34" i="1" s="1"/>
  <c r="AA41" i="1"/>
  <c r="AM41" i="1" s="1"/>
  <c r="D24" i="14" l="1"/>
  <c r="AI30" i="1" l="1"/>
  <c r="E1" i="13" l="1"/>
  <c r="D9" i="13" l="1"/>
  <c r="A26" i="14" l="1"/>
  <c r="E25" i="14"/>
  <c r="D25" i="14"/>
  <c r="C25" i="14"/>
  <c r="A25" i="14"/>
  <c r="E22" i="14"/>
  <c r="C22" i="14"/>
  <c r="A22" i="14"/>
  <c r="D21" i="14"/>
  <c r="A21" i="14"/>
  <c r="D20" i="14"/>
  <c r="A20" i="14"/>
  <c r="D19" i="14"/>
  <c r="C19" i="14"/>
  <c r="A19" i="14"/>
  <c r="D18" i="14"/>
  <c r="C18" i="14"/>
  <c r="A18" i="14"/>
  <c r="D17" i="14"/>
  <c r="C17" i="14"/>
  <c r="A17" i="14"/>
  <c r="D16" i="14"/>
  <c r="C16" i="14"/>
  <c r="A16" i="14"/>
  <c r="D15" i="14"/>
  <c r="C15" i="14"/>
  <c r="A15" i="14"/>
  <c r="D14" i="14"/>
  <c r="A14" i="14"/>
  <c r="D13" i="14"/>
  <c r="C13" i="14"/>
  <c r="A13" i="14"/>
  <c r="D12" i="14"/>
  <c r="C12" i="14"/>
  <c r="A12" i="14"/>
  <c r="D11" i="14"/>
  <c r="C11" i="14"/>
  <c r="A11" i="14"/>
  <c r="D10" i="14"/>
  <c r="C10" i="14"/>
  <c r="A10" i="14"/>
  <c r="D9" i="14"/>
  <c r="C9" i="14"/>
  <c r="A9" i="14"/>
  <c r="D8" i="14"/>
  <c r="C8" i="14"/>
  <c r="A8" i="14"/>
  <c r="D7" i="14"/>
  <c r="C7" i="14"/>
  <c r="A7" i="14"/>
  <c r="D6" i="14"/>
  <c r="C6" i="14"/>
  <c r="A6" i="14"/>
  <c r="D5" i="14"/>
  <c r="C5" i="14"/>
  <c r="A5" i="14"/>
  <c r="D4" i="14"/>
  <c r="C4" i="14"/>
  <c r="A4" i="14"/>
  <c r="D3" i="14"/>
  <c r="C3" i="14"/>
  <c r="A3" i="14"/>
  <c r="E2" i="14"/>
  <c r="D2" i="14"/>
  <c r="C2" i="14"/>
  <c r="A2" i="14"/>
  <c r="U1" i="14"/>
  <c r="U18" i="14" l="1"/>
  <c r="C7" i="13" l="1"/>
  <c r="Y1" i="9" l="1"/>
  <c r="T3" i="9" l="1"/>
  <c r="J3" i="16" l="1"/>
  <c r="T10" i="9"/>
  <c r="AL23" i="1"/>
  <c r="AL41" i="1" l="1"/>
  <c r="T11" i="9" l="1"/>
  <c r="T13" i="9" l="1"/>
  <c r="V4" i="5"/>
  <c r="AJ30" i="1"/>
  <c r="T14" i="9" l="1"/>
  <c r="AI29" i="1"/>
  <c r="AJ28" i="1"/>
  <c r="AI28" i="1"/>
  <c r="AJ27" i="1"/>
  <c r="AI27" i="1"/>
  <c r="AI26" i="1"/>
  <c r="AI25" i="1"/>
  <c r="E6" i="16" l="1"/>
  <c r="U28" i="9" l="1"/>
  <c r="T28" i="9"/>
  <c r="AB52" i="9"/>
  <c r="AC52" i="9"/>
  <c r="AD52" i="9"/>
  <c r="AE52" i="9"/>
  <c r="AB50" i="5"/>
  <c r="AC50" i="5"/>
  <c r="AD50" i="5"/>
  <c r="AE50" i="5"/>
  <c r="V53" i="7"/>
  <c r="W53" i="7"/>
  <c r="X53" i="7"/>
  <c r="Y53" i="7"/>
  <c r="V53" i="8"/>
  <c r="W53" i="8"/>
  <c r="X53" i="8"/>
  <c r="Y53" i="8"/>
  <c r="V53" i="12"/>
  <c r="W53" i="12"/>
  <c r="X53" i="12"/>
  <c r="Y53" i="12"/>
  <c r="AA52" i="9"/>
  <c r="AA50" i="5"/>
  <c r="U53" i="7"/>
  <c r="U53" i="8"/>
  <c r="U53" i="12"/>
  <c r="I24" i="14" l="1"/>
  <c r="E20" i="14"/>
  <c r="AA16" i="9" l="1"/>
  <c r="AK32" i="1" l="1"/>
  <c r="H24" i="14" l="1"/>
  <c r="E3" i="14"/>
  <c r="E4" i="14"/>
  <c r="E5" i="14"/>
  <c r="E6" i="14"/>
  <c r="E7" i="14"/>
  <c r="E8" i="14"/>
  <c r="E9" i="14"/>
  <c r="E12" i="14"/>
  <c r="E18" i="14"/>
  <c r="G47" i="1"/>
  <c r="H47" i="1"/>
  <c r="I47" i="1"/>
  <c r="G40" i="1"/>
  <c r="H40" i="1"/>
  <c r="I40" i="1"/>
  <c r="J40" i="1"/>
  <c r="E11" i="14" l="1"/>
  <c r="E19" i="14"/>
  <c r="J47" i="1"/>
  <c r="AI24" i="1"/>
  <c r="E16" i="14"/>
  <c r="J46" i="1"/>
  <c r="H46" i="1"/>
  <c r="H48" i="1" s="1"/>
  <c r="I46" i="1"/>
  <c r="I48" i="1" s="1"/>
  <c r="G46" i="1"/>
  <c r="G48" i="1" s="1"/>
  <c r="E13" i="14"/>
  <c r="H41" i="1"/>
  <c r="I41" i="1"/>
  <c r="E15" i="14"/>
  <c r="J48" i="1" l="1"/>
  <c r="E10" i="14"/>
  <c r="J41" i="1"/>
  <c r="AI35" i="1"/>
  <c r="AJ32" i="1"/>
  <c r="AI32" i="1"/>
  <c r="I45" i="1"/>
  <c r="H45" i="1"/>
  <c r="G41" i="1"/>
  <c r="H42" i="1"/>
  <c r="H43" i="1" s="1"/>
  <c r="I42" i="1"/>
  <c r="I43" i="1" s="1"/>
  <c r="G45" i="1"/>
  <c r="E14" i="14" l="1"/>
  <c r="J42" i="1"/>
  <c r="J43" i="1" s="1"/>
  <c r="J45" i="1"/>
  <c r="E21" i="14"/>
  <c r="E17" i="14"/>
  <c r="G43" i="1"/>
  <c r="J24" i="14" l="1"/>
  <c r="G24" i="14"/>
  <c r="F24" i="14" l="1"/>
  <c r="AA15" i="9"/>
  <c r="AC56" i="5" l="1"/>
  <c r="Z2" i="9" l="1"/>
  <c r="AA18" i="9" l="1"/>
  <c r="B25" i="9"/>
  <c r="C24" i="9"/>
  <c r="A23" i="9"/>
  <c r="A24" i="9"/>
  <c r="A25" i="9"/>
  <c r="C25" i="9" l="1"/>
  <c r="D23" i="9"/>
  <c r="C23" i="9"/>
  <c r="B23" i="9"/>
  <c r="C22" i="9"/>
  <c r="B22" i="9"/>
  <c r="A22" i="9"/>
  <c r="C21" i="9" l="1"/>
  <c r="D8" i="16" s="1"/>
  <c r="B21" i="9"/>
  <c r="A21" i="9"/>
  <c r="C20" i="9" l="1"/>
  <c r="A20" i="9"/>
  <c r="C19" i="9"/>
  <c r="B19" i="9"/>
  <c r="A19" i="9"/>
  <c r="C18" i="9"/>
  <c r="B18" i="9"/>
  <c r="A18" i="9"/>
  <c r="C17" i="9"/>
  <c r="B17" i="9"/>
  <c r="A17" i="9"/>
  <c r="C16" i="9"/>
  <c r="B16" i="9"/>
  <c r="A16" i="9"/>
  <c r="C15" i="9"/>
  <c r="B15" i="9"/>
  <c r="A15" i="9"/>
  <c r="C14" i="9" l="1"/>
  <c r="B14" i="9"/>
  <c r="A14" i="9"/>
  <c r="C13" i="9" l="1"/>
  <c r="B13" i="9"/>
  <c r="A13" i="9"/>
  <c r="C12" i="9"/>
  <c r="B12" i="9"/>
  <c r="A12" i="9"/>
  <c r="C11" i="9"/>
  <c r="B11" i="9"/>
  <c r="A11" i="9"/>
  <c r="C10" i="9" l="1"/>
  <c r="B10" i="9"/>
  <c r="A10" i="9"/>
  <c r="C9" i="9"/>
  <c r="B9" i="9"/>
  <c r="A9" i="9"/>
  <c r="C8" i="9"/>
  <c r="B8" i="9"/>
  <c r="A8" i="9"/>
  <c r="C7" i="9"/>
  <c r="B7" i="9"/>
  <c r="A7" i="9"/>
  <c r="C6" i="9"/>
  <c r="B6" i="9"/>
  <c r="A6" i="9"/>
  <c r="C5" i="9"/>
  <c r="B5" i="9"/>
  <c r="A5" i="9"/>
  <c r="C4" i="9"/>
  <c r="B4" i="9"/>
  <c r="A4" i="9"/>
  <c r="C3" i="9" l="1"/>
  <c r="B3" i="9"/>
  <c r="A3" i="9"/>
  <c r="D2" i="9"/>
  <c r="C2" i="9"/>
  <c r="B2" i="9"/>
  <c r="A2" i="9"/>
  <c r="Z1" i="9"/>
  <c r="F9" i="5" l="1"/>
  <c r="G10" i="5" s="1"/>
  <c r="D20" i="9"/>
  <c r="E9" i="5" l="1"/>
  <c r="F7" i="5"/>
  <c r="E7" i="5" l="1"/>
  <c r="D7" i="5"/>
  <c r="D9" i="5"/>
  <c r="C7" i="5"/>
  <c r="D19" i="9"/>
  <c r="D18" i="9"/>
  <c r="C9" i="5" l="1"/>
  <c r="D12" i="9" l="1"/>
  <c r="Z6" i="9" l="1"/>
  <c r="Z11" i="9"/>
  <c r="E4" i="5"/>
  <c r="D4" i="5"/>
  <c r="F4" i="5"/>
  <c r="D11" i="9"/>
  <c r="D7" i="9"/>
  <c r="D9" i="9"/>
  <c r="D5" i="9"/>
  <c r="D6" i="9"/>
  <c r="D8" i="9"/>
  <c r="G14" i="5" l="1"/>
  <c r="G16" i="5"/>
  <c r="D16" i="9"/>
  <c r="D4" i="9"/>
  <c r="D13" i="9"/>
  <c r="Z13" i="9" l="1"/>
  <c r="Z4" i="9"/>
  <c r="Z3" i="9" l="1"/>
  <c r="E16" i="5"/>
  <c r="D3" i="9"/>
  <c r="F16" i="5"/>
  <c r="F14" i="5"/>
  <c r="E3" i="5" l="1"/>
  <c r="E5" i="5" s="1"/>
  <c r="F3" i="5"/>
  <c r="D3" i="5"/>
  <c r="D5" i="5" s="1"/>
  <c r="Z10" i="9"/>
  <c r="E14" i="5"/>
  <c r="D10" i="9"/>
  <c r="D15" i="9"/>
  <c r="C4" i="5"/>
  <c r="D16" i="5" s="1"/>
  <c r="C3" i="5"/>
  <c r="D6" i="5" l="1"/>
  <c r="E6" i="5"/>
  <c r="F5" i="5"/>
  <c r="G15" i="5"/>
  <c r="G13" i="5"/>
  <c r="D14" i="5"/>
  <c r="D15" i="5"/>
  <c r="D13" i="5"/>
  <c r="C5" i="5"/>
  <c r="E15" i="5"/>
  <c r="E13" i="5"/>
  <c r="D17" i="9"/>
  <c r="D14" i="9"/>
  <c r="F15" i="5"/>
  <c r="F13" i="5"/>
  <c r="F6" i="5" l="1"/>
  <c r="E24" i="14"/>
  <c r="F8" i="5"/>
  <c r="D21" i="9"/>
  <c r="C8" i="5"/>
  <c r="C6" i="5"/>
  <c r="F12" i="5" l="1"/>
  <c r="F10" i="5"/>
  <c r="E8" i="5"/>
  <c r="D8" i="5" l="1"/>
  <c r="D10" i="5" s="1"/>
  <c r="E10" i="5"/>
  <c r="AI46" i="1" l="1"/>
  <c r="AI34" i="1"/>
  <c r="AI23" i="1"/>
  <c r="AI33" i="1" l="1"/>
  <c r="AI36" i="1"/>
  <c r="AI41" i="1"/>
  <c r="AI45" i="1" l="1"/>
  <c r="AI42" i="1" l="1"/>
  <c r="U19" i="14" l="1"/>
  <c r="AA19" i="9"/>
  <c r="E5" i="13" l="1"/>
  <c r="C10" i="13" s="1"/>
  <c r="S15" i="9" l="1"/>
  <c r="U10" i="14"/>
  <c r="AK23" i="1"/>
  <c r="AJ46" i="1"/>
  <c r="AJ34" i="1"/>
  <c r="AJ23" i="1"/>
  <c r="AK41" i="1"/>
  <c r="AK33" i="1" l="1"/>
  <c r="AJ33" i="1"/>
  <c r="AJ41" i="1"/>
  <c r="S20" i="9" l="1"/>
  <c r="AK42" i="1"/>
  <c r="AJ42" i="1"/>
  <c r="V9" i="5" l="1"/>
  <c r="T20" i="9"/>
  <c r="C3" i="13" l="1"/>
  <c r="E10" i="13" s="1"/>
  <c r="F10" i="13" l="1"/>
  <c r="AK31" i="1" l="1"/>
  <c r="AK24" i="1" l="1"/>
  <c r="S12" i="9"/>
  <c r="AK29" i="1"/>
  <c r="AJ29" i="1"/>
  <c r="AJ24" i="1"/>
  <c r="S11" i="9"/>
  <c r="AK35" i="1" l="1"/>
  <c r="S16" i="9"/>
  <c r="AJ35" i="1"/>
  <c r="AJ36" i="1" l="1"/>
  <c r="S17" i="9"/>
  <c r="V16" i="5"/>
  <c r="V14" i="5"/>
  <c r="AJ45" i="1" l="1"/>
  <c r="S21" i="9"/>
  <c r="Z19" i="1" l="1"/>
  <c r="T6" i="9" s="1"/>
  <c r="AL19" i="1" l="1"/>
  <c r="AK19" i="1"/>
  <c r="O6" i="14"/>
  <c r="Z13" i="1" l="1"/>
  <c r="Z34" i="1" s="1"/>
  <c r="Z36" i="1" s="1"/>
  <c r="T15" i="9" l="1"/>
  <c r="T17" i="9"/>
  <c r="O4" i="14"/>
  <c r="AL13" i="1"/>
  <c r="AU34" i="1"/>
  <c r="AK34" i="1"/>
  <c r="AL34" i="1"/>
  <c r="AT34" i="1"/>
  <c r="AT36" i="1" s="1"/>
  <c r="O15" i="14"/>
  <c r="U15" i="14" s="1"/>
  <c r="V3" i="5"/>
  <c r="Z46" i="1"/>
  <c r="AK13" i="1"/>
  <c r="T4" i="9"/>
  <c r="L2" i="17" l="1"/>
  <c r="V13" i="5"/>
  <c r="V5" i="5"/>
  <c r="V15" i="5"/>
  <c r="W15" i="5"/>
  <c r="AB15" i="5" s="1"/>
  <c r="W13" i="5"/>
  <c r="O17" i="14"/>
  <c r="AK36" i="1"/>
  <c r="Z45" i="1"/>
  <c r="AL46" i="1"/>
  <c r="Z48" i="1"/>
  <c r="AK46" i="1"/>
  <c r="V6" i="5" l="1"/>
  <c r="O21" i="14"/>
  <c r="V8" i="5"/>
  <c r="T21" i="9"/>
  <c r="AK45" i="1"/>
  <c r="V10" i="5" l="1"/>
  <c r="V12" i="5"/>
  <c r="AL30" i="1" l="1"/>
  <c r="AA24" i="1"/>
  <c r="AL24" i="1" l="1"/>
  <c r="AA35" i="1"/>
  <c r="AA36" i="1" s="1"/>
  <c r="P11" i="14"/>
  <c r="U11" i="9"/>
  <c r="AA32" i="1"/>
  <c r="AL32" i="1" l="1"/>
  <c r="AA33" i="1"/>
  <c r="P13" i="14"/>
  <c r="U13" i="9"/>
  <c r="E4" i="16"/>
  <c r="AL35" i="1"/>
  <c r="U16" i="9"/>
  <c r="P16" i="14"/>
  <c r="AU35" i="1"/>
  <c r="AU36" i="1" s="1"/>
  <c r="W4" i="5"/>
  <c r="W16" i="5" l="1"/>
  <c r="W14" i="5"/>
  <c r="W5" i="5"/>
  <c r="AL36" i="1"/>
  <c r="U17" i="9"/>
  <c r="P17" i="14"/>
  <c r="AA45" i="1"/>
  <c r="AA53" i="1"/>
  <c r="M2" i="17"/>
  <c r="C16" i="13"/>
  <c r="AL33" i="1"/>
  <c r="E5" i="16"/>
  <c r="U14" i="9"/>
  <c r="P14" i="14"/>
  <c r="AA39" i="1"/>
  <c r="AA44" i="1" s="1"/>
  <c r="U25" i="9" l="1"/>
  <c r="P26" i="14" s="1"/>
  <c r="W6" i="5"/>
  <c r="W8" i="5"/>
  <c r="AL45" i="1"/>
  <c r="C15" i="13"/>
  <c r="P21" i="14"/>
  <c r="E8" i="16"/>
  <c r="U21" i="9"/>
  <c r="AA40" i="1"/>
  <c r="AA42" i="1"/>
  <c r="AL42" i="1" l="1"/>
  <c r="AA43" i="1"/>
  <c r="U20" i="9"/>
  <c r="W9" i="5"/>
  <c r="P20" i="14"/>
  <c r="W12" i="5"/>
  <c r="O24" i="14"/>
  <c r="W10" i="5"/>
  <c r="AG30" i="1" l="1"/>
  <c r="AM30" i="1"/>
  <c r="AN30" i="1"/>
  <c r="AB24" i="1"/>
  <c r="AB32" i="1" s="1"/>
  <c r="Q11" i="14" l="1"/>
  <c r="AB35" i="1"/>
  <c r="X4" i="5" s="1"/>
  <c r="V11" i="9"/>
  <c r="AN24" i="1"/>
  <c r="AM24" i="1"/>
  <c r="AB33" i="1"/>
  <c r="F4" i="16"/>
  <c r="J4" i="16" s="1"/>
  <c r="AM32" i="1"/>
  <c r="AN32" i="1"/>
  <c r="V13" i="9"/>
  <c r="Q13" i="14"/>
  <c r="U13" i="14" s="1"/>
  <c r="AG24" i="1" l="1"/>
  <c r="AW35" i="1"/>
  <c r="AW36" i="1" s="1"/>
  <c r="Q16" i="14"/>
  <c r="U16" i="14" s="1"/>
  <c r="AM35" i="1"/>
  <c r="AN35" i="1"/>
  <c r="AB36" i="1"/>
  <c r="V16" i="9"/>
  <c r="AV35" i="1"/>
  <c r="AV36" i="1" s="1"/>
  <c r="AB4" i="5"/>
  <c r="Y14" i="5"/>
  <c r="X5" i="5"/>
  <c r="Y16" i="5"/>
  <c r="X16" i="5"/>
  <c r="X14" i="5"/>
  <c r="AG32" i="1"/>
  <c r="AN33" i="1"/>
  <c r="V14" i="9"/>
  <c r="Q14" i="14"/>
  <c r="U14" i="14" s="1"/>
  <c r="AB39" i="1"/>
  <c r="F5" i="16"/>
  <c r="J5" i="16" s="1"/>
  <c r="AM33" i="1"/>
  <c r="AB16" i="5" l="1"/>
  <c r="AG55" i="1"/>
  <c r="AF55" i="1" s="1"/>
  <c r="N2" i="17"/>
  <c r="AB45" i="1"/>
  <c r="AF59" i="1"/>
  <c r="AM36" i="1"/>
  <c r="AB53" i="1"/>
  <c r="AN36" i="1"/>
  <c r="V17" i="9"/>
  <c r="Q17" i="14"/>
  <c r="U17" i="14" s="1"/>
  <c r="D16" i="13"/>
  <c r="H16" i="13" s="1"/>
  <c r="AQ54" i="1"/>
  <c r="AG36" i="1"/>
  <c r="AB5" i="5"/>
  <c r="X6" i="5"/>
  <c r="AG33" i="1"/>
  <c r="AB44" i="1"/>
  <c r="AB40" i="1"/>
  <c r="AB42" i="1"/>
  <c r="AG45" i="1" l="1"/>
  <c r="X8" i="5"/>
  <c r="V21" i="9"/>
  <c r="Q21" i="14"/>
  <c r="U21" i="14" s="1"/>
  <c r="F8" i="16"/>
  <c r="J8" i="16" s="1"/>
  <c r="AM45" i="1"/>
  <c r="AN45" i="1"/>
  <c r="D15" i="13"/>
  <c r="H15" i="13" s="1"/>
  <c r="AA17" i="9"/>
  <c r="I16" i="13"/>
  <c r="AG53" i="1"/>
  <c r="AA25" i="9" s="1"/>
  <c r="V25" i="9"/>
  <c r="Q26" i="14" s="1"/>
  <c r="U26" i="14" s="1"/>
  <c r="U27" i="14" s="1"/>
  <c r="AB43" i="1"/>
  <c r="AM42" i="1"/>
  <c r="AN42" i="1"/>
  <c r="X9" i="5"/>
  <c r="Y10" i="5" s="1"/>
  <c r="AC44" i="1"/>
  <c r="Q20" i="14"/>
  <c r="V20" i="9"/>
  <c r="X12" i="5" l="1"/>
  <c r="AB8" i="5"/>
  <c r="T24" i="14" s="1"/>
  <c r="X10" i="5"/>
  <c r="P24" i="14"/>
  <c r="AQ38" i="1"/>
  <c r="AA21" i="9"/>
  <c r="I15" i="13"/>
  <c r="B4" i="13"/>
  <c r="R20" i="14"/>
  <c r="AD44" i="1"/>
  <c r="W20" i="9"/>
  <c r="Y9" i="5"/>
  <c r="Z10" i="5" s="1"/>
  <c r="U24" i="14" l="1"/>
  <c r="B7" i="13"/>
  <c r="I10" i="13"/>
  <c r="B10" i="13"/>
  <c r="H10" i="13" s="1"/>
  <c r="S20" i="14"/>
  <c r="Z9" i="5"/>
  <c r="AA10" i="5" s="1"/>
  <c r="X20" i="9"/>
  <c r="AE44" i="1"/>
  <c r="T20" i="14" l="1"/>
  <c r="U20" i="14" s="1"/>
  <c r="Y20" i="9"/>
  <c r="AA9" i="5"/>
</calcChain>
</file>

<file path=xl/sharedStrings.xml><?xml version="1.0" encoding="utf-8"?>
<sst xmlns="http://schemas.openxmlformats.org/spreadsheetml/2006/main" count="383" uniqueCount="282">
  <si>
    <t>tis.Kč</t>
  </si>
  <si>
    <t>ř.</t>
  </si>
  <si>
    <t>Druhové třídění dle rozp. skladby</t>
  </si>
  <si>
    <t xml:space="preserve">Údaje </t>
  </si>
  <si>
    <t>Daňové příjmy</t>
  </si>
  <si>
    <t>DPFO ze závislé činnosti</t>
  </si>
  <si>
    <t>DPFO OSVČ</t>
  </si>
  <si>
    <t>DPFO zvláštní sazba (srážková)</t>
  </si>
  <si>
    <t>DPPO</t>
  </si>
  <si>
    <t>DPPO za obce</t>
  </si>
  <si>
    <t>DPH</t>
  </si>
  <si>
    <t>Správní poplatky</t>
  </si>
  <si>
    <t>Daň z nemovitostí</t>
  </si>
  <si>
    <t>Nedaňové příjmy</t>
  </si>
  <si>
    <t xml:space="preserve">Příjmy z vlastní činnosti a odvody </t>
  </si>
  <si>
    <t>Přijaté sankční platby a vratky</t>
  </si>
  <si>
    <t>Příjmy z prodeje nekapitálového majetku a ostatní nedaň. příjmy</t>
  </si>
  <si>
    <t>Přijaté splátky půjček</t>
  </si>
  <si>
    <t>Kapitálové příjmy</t>
  </si>
  <si>
    <t>Přijaté dotace (transfery)</t>
  </si>
  <si>
    <t>Neinvestiční přijaté dotace (transfery)</t>
  </si>
  <si>
    <t>Investiční přijaté dotace (transfery)</t>
  </si>
  <si>
    <t>1+2+3+4</t>
  </si>
  <si>
    <t>PŘÍJMY CELKEM</t>
  </si>
  <si>
    <t>Běžné výdaje</t>
  </si>
  <si>
    <t>Výdaje na platy, ostatní platby za práci a pojistné</t>
  </si>
  <si>
    <t>Neinvestiční trans. soukr. subj.</t>
  </si>
  <si>
    <t>Ostatní neinvestiční výdaje</t>
  </si>
  <si>
    <t>5+6</t>
  </si>
  <si>
    <t>VÝDAJE CELKEM</t>
  </si>
  <si>
    <t>ř.21 - ř.30</t>
  </si>
  <si>
    <t>SALDO PŘÍJMŮ A VÝDAJŮ</t>
  </si>
  <si>
    <t>1+2+41</t>
  </si>
  <si>
    <t>Běžné příjmy (včetně neinvestičních dotací)</t>
  </si>
  <si>
    <t>Běžné výdaje (provozní)</t>
  </si>
  <si>
    <t>ř.32-ř.33</t>
  </si>
  <si>
    <t>PROVOZNÍ SALDO</t>
  </si>
  <si>
    <t>ř.31+ř.35-ř.36</t>
  </si>
  <si>
    <t>ř.21+ř.35</t>
  </si>
  <si>
    <t>PŘÍJMY VŠECHNY (včetně dluhů)</t>
  </si>
  <si>
    <t>VÝDAJE VŠECHNY (včetně splátek a úspor)</t>
  </si>
  <si>
    <t>rozvaha</t>
  </si>
  <si>
    <t>ř.34-ř.36</t>
  </si>
  <si>
    <t>ř.1+ř.11+ř.17</t>
  </si>
  <si>
    <t xml:space="preserve">Dluhová základna </t>
  </si>
  <si>
    <t>Ukazatel dluhové služby</t>
  </si>
  <si>
    <t>tis. Kč</t>
  </si>
  <si>
    <r>
      <t xml:space="preserve">Údaje </t>
    </r>
    <r>
      <rPr>
        <sz val="9"/>
        <rFont val="Calibri"/>
        <family val="2"/>
        <charset val="238"/>
        <scheme val="minor"/>
      </rPr>
      <t>(čísla značí druhové členění rozp. skladby)</t>
    </r>
  </si>
  <si>
    <t xml:space="preserve">       z toho:  4112 a 4212 - neinvestiční a investiční dotace ze SR - souhrnného dotačního vztahu</t>
  </si>
  <si>
    <t>Zbývá po uhrazení splátek úvěrů (tis. Kč)</t>
  </si>
  <si>
    <t>PROVOZNÍ SALDO (tis. Kč)</t>
  </si>
  <si>
    <t>% Podíl provozního salda na běžných příjmech</t>
  </si>
  <si>
    <t xml:space="preserve">Dluhová služba </t>
  </si>
  <si>
    <t>% ZMĚNY BĚŽNÝCH PŘÍJMŮ</t>
  </si>
  <si>
    <t>% ZMĚNY BĚŽNÝCH VÝDAJŮ</t>
  </si>
  <si>
    <t>INDEXY</t>
  </si>
  <si>
    <t>DOPORUČENÝ ÚDAJ</t>
  </si>
  <si>
    <t>STROP ZŮSTATKU DLOUHODOBÝCH ÚVĚRŮ</t>
  </si>
  <si>
    <t>Zbývá z provozního salda po uhrazení splátek úvěrů</t>
  </si>
  <si>
    <t>Změna stavu na účtech a finančního majetku</t>
  </si>
  <si>
    <t xml:space="preserve">Přijaté dlouhodobé půjčky </t>
  </si>
  <si>
    <t>Uhrazené splátky dlouhodobých půjček</t>
  </si>
  <si>
    <t>ZMĚNY BĚŽNÝCH PŘÍJMŮ (tis. Kč)</t>
  </si>
  <si>
    <t>ZMĚNY BĚŽNÝCH VÝDAJŮ (tis. Kč)</t>
  </si>
  <si>
    <t>Stavby (tis. Kč)</t>
  </si>
  <si>
    <t>Časové řady</t>
  </si>
  <si>
    <t>Bilance (tis. Kč)</t>
  </si>
  <si>
    <t>1. Daňové příjmy:</t>
  </si>
  <si>
    <t>1111 DPFO ZČ:</t>
  </si>
  <si>
    <t>1112 DPFO OSVČ:</t>
  </si>
  <si>
    <t>1113 DPFO zvláštní sazba (z kapitálových výnosů):</t>
  </si>
  <si>
    <t>1121 DPPO:</t>
  </si>
  <si>
    <t>1122 DPPO za obce:</t>
  </si>
  <si>
    <t>1211 DPH:</t>
  </si>
  <si>
    <t>133 až 135 Místní poplatky a ostatní DP:</t>
  </si>
  <si>
    <t>1361 Správní poplatky:</t>
  </si>
  <si>
    <t>1511 Daň z nemovitostí:</t>
  </si>
  <si>
    <t>2. Nedaňové příjmy:</t>
  </si>
  <si>
    <t>21 Příjmy z vlastní činnosti a odvody :</t>
  </si>
  <si>
    <t>3. Kapitálové příjmy:</t>
  </si>
  <si>
    <t>4. Přijaté dotace:</t>
  </si>
  <si>
    <t>41 Neinvestiční přijaté dotace (transfery):</t>
  </si>
  <si>
    <t>42 Investiční přijaté dotace (transfery):</t>
  </si>
  <si>
    <t>z toho: 4112 a 4212 - neinvestiční a investiční dotace ze SR - souhrnného dotačního vztahu:</t>
  </si>
  <si>
    <t>Příjmy celkem:</t>
  </si>
  <si>
    <t>5. Běžné výdaje:</t>
  </si>
  <si>
    <t>50 Výdaje na platy, ostatní platby za práci a pojistné:</t>
  </si>
  <si>
    <t>51 Neinvestiční nákupy a související výdaje:</t>
  </si>
  <si>
    <t>52 Neinvestiční trans. soukr. subj.:</t>
  </si>
  <si>
    <t>6. Kapitálové výdaje:</t>
  </si>
  <si>
    <t>Výdaje celkem:</t>
  </si>
  <si>
    <t>Saldo příjmů a výdajů:</t>
  </si>
  <si>
    <t>8. FINANCOVÁNÍ:</t>
  </si>
  <si>
    <t>Přijaté půjčky:</t>
  </si>
  <si>
    <t>Změna stavu na účtech (případně okamžitě likvidní aktiva):</t>
  </si>
  <si>
    <t>Počet osob</t>
  </si>
  <si>
    <t>Počet obyvatel:</t>
  </si>
  <si>
    <t>Počet zaměstnanců:</t>
  </si>
  <si>
    <t>ř.45/ř.44 *%</t>
  </si>
  <si>
    <t>Kapitálové výdaje</t>
  </si>
  <si>
    <t>KONTROLNÍ SALDO ÚPLNÉ (včetně financování)</t>
  </si>
  <si>
    <t>a</t>
  </si>
  <si>
    <t>b</t>
  </si>
  <si>
    <t>Stav na bankovních účtech (tis. Kč)</t>
  </si>
  <si>
    <t>c=a-b</t>
  </si>
  <si>
    <t>d</t>
  </si>
  <si>
    <t>e=c+d</t>
  </si>
  <si>
    <t>f</t>
  </si>
  <si>
    <t xml:space="preserve">ANO= když f/50 &gt; c </t>
  </si>
  <si>
    <t>-</t>
  </si>
  <si>
    <t>Dostačuje potenciál provozního salda po úhradě splátek dluhů na krytí obnovy staveb</t>
  </si>
  <si>
    <t>Provozní saldo po úhradě splátek úvěrů + stav na bankovních účtech předchozího roku (tis. Kč)</t>
  </si>
  <si>
    <t>Počet žáků:</t>
  </si>
  <si>
    <t>ř.36+leasing pol. 5178 +úroky pol. 5141</t>
  </si>
  <si>
    <t xml:space="preserve">FINANCOVÁNÍ ("+" je další "dluh", "-" opak) </t>
  </si>
  <si>
    <t>Kontrolní saldo úplné (včetně financování)</t>
  </si>
  <si>
    <t xml:space="preserve">Rozpis tříd, případně seskupení položek je ekvivalentem "Z toho:", tedy uvádí jen vybraná (specifikovaná) podseskupení, případně položky rozpočtové skladby. </t>
  </si>
  <si>
    <t>Finanční kondice</t>
  </si>
  <si>
    <t xml:space="preserve"> "síla, power"</t>
  </si>
  <si>
    <r>
      <rPr>
        <b/>
        <sz val="12"/>
        <color theme="1"/>
        <rFont val="Calibri"/>
        <family val="2"/>
        <charset val="238"/>
        <scheme val="minor"/>
      </rPr>
      <t>Stav financí</t>
    </r>
    <r>
      <rPr>
        <sz val="12"/>
        <color theme="1"/>
        <rFont val="Calibri"/>
        <family val="2"/>
        <charset val="238"/>
        <scheme val="minor"/>
      </rPr>
      <t xml:space="preserve"> </t>
    </r>
  </si>
  <si>
    <t>:)</t>
  </si>
  <si>
    <t>:(</t>
  </si>
  <si>
    <t>:|</t>
  </si>
  <si>
    <t>Výborný/ná</t>
  </si>
  <si>
    <t>Velmi dobrý/rá</t>
  </si>
  <si>
    <t>Dobrý/rá</t>
  </si>
  <si>
    <t>Dostatečný/ná</t>
  </si>
  <si>
    <t>Nedostatečný/ná</t>
  </si>
  <si>
    <t xml:space="preserve">POZ. Rozpis tříd, případně seskupení položek je ekvivalentem "Z toho:" </t>
  </si>
  <si>
    <t>*2012 přesun agendy sociální na úřady práce a zahájení odepisování majetku, *2013 novela RUD (příspěvky na žáka v RUD)</t>
  </si>
  <si>
    <t xml:space="preserve">Vysvětlivky: </t>
  </si>
  <si>
    <t>*2001 velká novela RUD *2003 vznik ORP obcí s rozšířenou působností podle zákona č. 314/2002 Sb.,</t>
  </si>
  <si>
    <t>ř.30+ř.36</t>
  </si>
  <si>
    <t>ř.39-ř.40</t>
  </si>
  <si>
    <t>ř.36+leasing pol. 5178+úroky pol. 5141</t>
  </si>
  <si>
    <t>ř.46/ř.45 *%</t>
  </si>
  <si>
    <t>ř.1+ř.11+pol. 4112 a 4212</t>
  </si>
  <si>
    <t>Výborný</t>
  </si>
  <si>
    <t>Velmi dobrý</t>
  </si>
  <si>
    <t>Dobrý</t>
  </si>
  <si>
    <t>Dostatečný</t>
  </si>
  <si>
    <t>Nedostatečný</t>
  </si>
  <si>
    <t>Neinvestiční transfery soukromoprávním subjektům</t>
  </si>
  <si>
    <t>A</t>
  </si>
  <si>
    <t>B</t>
  </si>
  <si>
    <t>C</t>
  </si>
  <si>
    <t>D</t>
  </si>
  <si>
    <t>E</t>
  </si>
  <si>
    <t>účet 551</t>
  </si>
  <si>
    <t>Odpisy dlouhodobého majetku</t>
  </si>
  <si>
    <t>54 až 58</t>
  </si>
  <si>
    <t>POZ. Škála známkování A nejlepší, město pak představuje symbol planetky.</t>
  </si>
  <si>
    <t>Údaj</t>
  </si>
  <si>
    <t>Stavby (účet 021)</t>
  </si>
  <si>
    <t>Dlouhodobé pohledávky (účet 462 až 471)</t>
  </si>
  <si>
    <t>CELKEM 2018 až 2022</t>
  </si>
  <si>
    <t>Reprodukce dlouhodobého majetku (doporučený údaj)</t>
  </si>
  <si>
    <t>Střednědobý výhled rozpočtu je zveřejněn na internetových stránkách samosprávy a je k dispozici v listinné podobě k nahlédnutí na úřadě samosprávy.</t>
  </si>
  <si>
    <t>Splátky dluhů</t>
  </si>
  <si>
    <t>Provozní saldo</t>
  </si>
  <si>
    <t>Možný úvěr do bezpečného limitu</t>
  </si>
  <si>
    <t>Dlouhodobé závazky celkem</t>
  </si>
  <si>
    <t>Čím dále a výše od "slunce" se v matici planetka nachází, tím lepší finanční zdraví.</t>
  </si>
  <si>
    <t>*</t>
  </si>
  <si>
    <t xml:space="preserve">Střednědobý výhled rozpočtu - informace podle zákona č. 250/2000 Sb. </t>
  </si>
  <si>
    <t>Dlouhodobé závazky (úvěry)</t>
  </si>
  <si>
    <t>Celkem k dispozici ke krytí nových závazků z vlastních prostředků (ř.7 + ř.8):</t>
  </si>
  <si>
    <t xml:space="preserve">Vysvětlivky: RUD = rozpočtové určení daní (zákon č. 243/2000 Sb.) </t>
  </si>
  <si>
    <t>ř.30+ř.36+ř.37</t>
  </si>
  <si>
    <r>
      <t>Zbývá na cíle, včetně reprodukce majetku, po úhradě přijatých závazků</t>
    </r>
    <r>
      <rPr>
        <sz val="14"/>
        <rFont val="Arial"/>
        <family val="2"/>
        <charset val="238"/>
      </rPr>
      <t xml:space="preserve"> (bez rezerv, přijatých úvěrů, investičních dotací a kapitálových příjmů)</t>
    </r>
  </si>
  <si>
    <r>
      <t>* finanční zdroje a potřeby dlouhodobě realizovaných záměrů (</t>
    </r>
    <r>
      <rPr>
        <b/>
        <sz val="14"/>
        <rFont val="Arial CE"/>
        <charset val="238"/>
      </rPr>
      <t>Vypočte se = provozní saldo - splátky dluhů + opravy</t>
    </r>
    <r>
      <rPr>
        <sz val="14"/>
        <rFont val="Arial CE"/>
        <charset val="238"/>
      </rPr>
      <t>)</t>
    </r>
  </si>
  <si>
    <t>Zbývá z provozního salda po uhrazení splátek úvěrů*</t>
  </si>
  <si>
    <t>*ve výhledu včetně oprav</t>
  </si>
  <si>
    <t>www.cityfinance.cz</t>
  </si>
  <si>
    <t>Předpokládané celkové finanční možnosti samosprávy na 4 roky v mil. Kč (od r. 2019 do r. 2022)</t>
  </si>
  <si>
    <t>133 až 138 +1381</t>
  </si>
  <si>
    <t>Běžné výdaje (provozní)*</t>
  </si>
  <si>
    <t>Zbývá z provozního salda + opravy po úhradě splátek dluhů</t>
  </si>
  <si>
    <t>Místní poplatky (od roku 2017 včetně daně z hazardu)</t>
  </si>
  <si>
    <t>Zbývá po zahrnutí reprodukce majetku bez splátek dluhů (bez přijatých úvěrů, investičních dotací, kapitálových příjmů)</t>
  </si>
  <si>
    <t>Neinvestiční přijaté dotace (transfery vč. hospodářské činnosti)</t>
  </si>
  <si>
    <t>Hospodářská činnost</t>
  </si>
  <si>
    <t>Náklady</t>
  </si>
  <si>
    <t>Výnosy</t>
  </si>
  <si>
    <t>Výsledek</t>
  </si>
  <si>
    <t>% ziskovosti</t>
  </si>
  <si>
    <t>Neinvestiční nákupy a související výdaje**</t>
  </si>
  <si>
    <t>Neinvestiční transfery obyvatelstvu a mezin. org. a půjčky obyv.</t>
  </si>
  <si>
    <t>23 Příjmy z prodeje nekapitálového majetku a ostatní nedaň. Příjmy:</t>
  </si>
  <si>
    <t>Základní běžný účet a účty fondů (součty účtů 231+236+241+244, případně 068)*</t>
  </si>
  <si>
    <t>Dlouhodobé bankovní úvěry (účet 451)</t>
  </si>
  <si>
    <t>Dlouhodobé pohledávky celkem (součet účtů pohledávek 462 až 471)</t>
  </si>
  <si>
    <t>59 pouze výhled a rozpočet</t>
  </si>
  <si>
    <t>Uhrazené splátky dlouhodobých přijatých půjčených prostředků</t>
  </si>
  <si>
    <t>Uhrazené splátky půjček :</t>
  </si>
  <si>
    <t>PROVOZNÍ SALDO (POZOR, ve výhledu + opravy)</t>
  </si>
  <si>
    <t>Střednědobý výhled rozpočtu</t>
  </si>
  <si>
    <t xml:space="preserve">Kapitálové výdaje </t>
  </si>
  <si>
    <t>MFČR</t>
  </si>
  <si>
    <t>Cityfinance</t>
  </si>
  <si>
    <t>13 bez 1361 a 1511</t>
  </si>
  <si>
    <t>Dlouhodobé úvěry a půjčky (splatné dlouhodobé závazky)</t>
  </si>
  <si>
    <t>ř.34-ř50</t>
  </si>
  <si>
    <t>Splátky dlouhodobých závazků</t>
  </si>
  <si>
    <t>je 60% průměru příjmů za 4 roky</t>
  </si>
  <si>
    <t>© Ing. Ludek Tesař, Cityfinance, www.cityfinance.cz</t>
  </si>
  <si>
    <t>Transfery na silnice</t>
  </si>
  <si>
    <t>*2005 změna financování školství, *2012 přesun agendy sociální na úřady práce a zahájení odepisování majetku, *2013 novela RUD (příspěvky na žáka v RUD), *2018 novela RUD (zvýšení podílu obcí na DPH+zvýšení váhy žáků), 2020 zvýšení podílu obcí (COVID)</t>
  </si>
  <si>
    <r>
      <t xml:space="preserve">2027 </t>
    </r>
    <r>
      <rPr>
        <sz val="12"/>
        <rFont val="Arial"/>
        <family val="2"/>
        <charset val="238"/>
      </rPr>
      <t>výhled</t>
    </r>
  </si>
  <si>
    <t>2027/ 2026</t>
  </si>
  <si>
    <t>ročně</t>
  </si>
  <si>
    <t>Provozní saldo po úhradě splátek dluhů + opravy</t>
  </si>
  <si>
    <t>Plánováno na splátky dluhů</t>
  </si>
  <si>
    <t>pol 5141</t>
  </si>
  <si>
    <t>úroky</t>
  </si>
  <si>
    <r>
      <t xml:space="preserve">2028 </t>
    </r>
    <r>
      <rPr>
        <sz val="12"/>
        <rFont val="Arial"/>
        <family val="2"/>
        <charset val="238"/>
      </rPr>
      <t>výhled</t>
    </r>
  </si>
  <si>
    <t>2028/ 2027</t>
  </si>
  <si>
    <t>Vlastní zdroje (jistota)</t>
  </si>
  <si>
    <t>Cizí zdroje (možnost)</t>
  </si>
  <si>
    <t>Možnost čerpání úvěrů do bezpečného stropu</t>
  </si>
  <si>
    <t>Zbyde po úhradě provozu z běžných příjmů</t>
  </si>
  <si>
    <t>Finanční aktiva (krátkodobá likvidní na účtech, fondech atp.)</t>
  </si>
  <si>
    <t>533 Neinvestiční transfery příspěvkovým a podobným organizacím</t>
  </si>
  <si>
    <t>rozvaha D.II.1</t>
  </si>
  <si>
    <t>rozvaha A.IV</t>
  </si>
  <si>
    <t>rozvaha A.II.3</t>
  </si>
  <si>
    <t>Průměr % změna výhledu</t>
  </si>
  <si>
    <t>Doprava 5193 dolů a 5213 nahoru</t>
  </si>
  <si>
    <t>Kontrolní příjmy veškeré (včetně dluhů)</t>
  </si>
  <si>
    <t>Kontrolní výdaje veškeré (včetně splátek a úspor)</t>
  </si>
  <si>
    <t>spolky</t>
  </si>
  <si>
    <t>POZOR!!! VYPLNIT SPRÁVNĚ</t>
  </si>
  <si>
    <t>Místní poplatky vč. odpadu, hazardu, skládkování a ostatní DP</t>
  </si>
  <si>
    <t>www.prispevekobce.cz</t>
  </si>
  <si>
    <t>5171 opravy 5169 nákupy ostatních služeb</t>
  </si>
  <si>
    <t>Neinvestiční transfery příspěvkovým a podobným organizacím:</t>
  </si>
  <si>
    <r>
      <t xml:space="preserve">2029 </t>
    </r>
    <r>
      <rPr>
        <sz val="12"/>
        <rFont val="Arial"/>
        <family val="2"/>
        <charset val="238"/>
      </rPr>
      <t>výhled</t>
    </r>
  </si>
  <si>
    <t>2023/ 2022</t>
  </si>
  <si>
    <t>2029/ 2028</t>
  </si>
  <si>
    <t>Optimistický</t>
  </si>
  <si>
    <t>53 bez 533 až 59</t>
  </si>
  <si>
    <t>Nezapomenout !!!</t>
  </si>
  <si>
    <t>Neinvestiční transfery obyvatelstvu, platby daní, půjčky neziskovkám, náhrady FO a ostatní neinv. výdaje:</t>
  </si>
  <si>
    <t>Výhled 2025</t>
  </si>
  <si>
    <t>2026 Cityfinance</t>
  </si>
  <si>
    <t>opravy (5171)</t>
  </si>
  <si>
    <t>Rezerva (na 59tkách)</t>
  </si>
  <si>
    <t>Rezerva (na 5169 ostatní nákupy)</t>
  </si>
  <si>
    <t>REZERVY a Opravy</t>
  </si>
  <si>
    <t>Počet obyvatel města</t>
  </si>
  <si>
    <t>není</t>
  </si>
  <si>
    <t>5171 (dále 59+rezerva na 5169)</t>
  </si>
  <si>
    <t>Opravy a rezervy (59+5171+případná rezerva na 5169)</t>
  </si>
  <si>
    <r>
      <t xml:space="preserve">2030 </t>
    </r>
    <r>
      <rPr>
        <sz val="12"/>
        <rFont val="Arial"/>
        <family val="2"/>
        <charset val="238"/>
      </rPr>
      <t>výhled</t>
    </r>
  </si>
  <si>
    <t>2024/ 2023</t>
  </si>
  <si>
    <t>2030/ 2029</t>
  </si>
  <si>
    <t>Průměr v ČR Kč/obyv (bez Prahy, Brna, Ostravy a Plzně)</t>
  </si>
  <si>
    <r>
      <t xml:space="preserve">Neinvestiční nákupy a související výdaje </t>
    </r>
    <r>
      <rPr>
        <b/>
        <sz val="10"/>
        <rFont val="Arial"/>
        <family val="2"/>
        <charset val="238"/>
      </rPr>
      <t>ve výhledu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bez oprav </t>
    </r>
    <r>
      <rPr>
        <sz val="10"/>
        <rFont val="Arial"/>
        <family val="2"/>
        <charset val="238"/>
      </rPr>
      <t xml:space="preserve">(položka 5171) </t>
    </r>
    <r>
      <rPr>
        <b/>
        <sz val="10"/>
        <rFont val="Arial"/>
        <family val="2"/>
        <charset val="238"/>
      </rPr>
      <t xml:space="preserve">a rezerv </t>
    </r>
    <r>
      <rPr>
        <sz val="10"/>
        <rFont val="Arial"/>
        <family val="2"/>
        <charset val="238"/>
      </rPr>
      <t xml:space="preserve">např. na pol. 5169 </t>
    </r>
    <r>
      <rPr>
        <b/>
        <sz val="10"/>
        <rFont val="Arial"/>
        <family val="2"/>
        <charset val="238"/>
      </rPr>
      <t xml:space="preserve">či mimořádných výdajů </t>
    </r>
    <r>
      <rPr>
        <sz val="10"/>
        <rFont val="Arial"/>
        <family val="2"/>
        <charset val="238"/>
      </rPr>
      <t>(pozn. v roce 2022 přesun dopravy z 5193 na 5213)</t>
    </r>
  </si>
  <si>
    <t>REZERVY BĚŽNÉ VÝDAJE</t>
  </si>
  <si>
    <t>**bez 511 Oprav a rezerv; *ve výhledu včetně oprav</t>
  </si>
  <si>
    <t>53 až 58 bez 533</t>
  </si>
  <si>
    <t>Finanční kondice standard průměru v ČR*</t>
  </si>
  <si>
    <t>Průměr výhledu</t>
  </si>
  <si>
    <t>Rezerva 5179 (ostatní nezařazené)</t>
  </si>
  <si>
    <t>Výhled 2026</t>
  </si>
  <si>
    <t>2027 Cityfinance</t>
  </si>
  <si>
    <t>Krátkodobý likvidní finanční majetek zústatek dle rozpočtu 2025</t>
  </si>
  <si>
    <t>Rezerva na běžné výdaje, úroky a ostatní neinvestiční výdaje</t>
  </si>
  <si>
    <t>Neinvestiční příspěvky zřízeným příspěvkovým organizacím</t>
  </si>
  <si>
    <r>
      <t xml:space="preserve">2031 </t>
    </r>
    <r>
      <rPr>
        <sz val="12"/>
        <rFont val="Arial"/>
        <family val="2"/>
        <charset val="238"/>
      </rPr>
      <t>výhled</t>
    </r>
  </si>
  <si>
    <t>Průměr % změna 2004 až 2025</t>
  </si>
  <si>
    <t>2025/ 2024</t>
  </si>
  <si>
    <t>rozp 2026/ 2025</t>
  </si>
  <si>
    <t>2031/ 2030</t>
  </si>
  <si>
    <t>2027/2025</t>
  </si>
  <si>
    <t>Suma 2027 až 2031</t>
  </si>
  <si>
    <t>54 až 59 Neinvestiční transfery obyvatelstvu a mezin. org. a půjčky obyv., placené daně a ostatní neinv. výdaje:</t>
  </si>
  <si>
    <t>Krátkodobý finanční majetek:</t>
  </si>
  <si>
    <t>Účty, resp.krátkodobá finanční aktiva dle rozpočtu k 31.12.2026</t>
  </si>
  <si>
    <t>Stav dluhů dle rozpočtu k 31.12.2026</t>
  </si>
  <si>
    <t>2026 rozpočet duben</t>
  </si>
  <si>
    <t>Finanční kondice  (provozní saldo + opravy + zřejmé provozní rezervy rozpočtu)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</si>
</sst>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.0"/>
    <numFmt numFmtId="166" formatCode="0.0"/>
    <numFmt numFmtId="167" formatCode="#,##0.000"/>
  </numFmts>
  <fonts count="7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charset val="238"/>
    </font>
    <font>
      <sz val="12"/>
      <name val="Arial CE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Arial CE"/>
      <charset val="238"/>
    </font>
    <font>
      <sz val="10"/>
      <name val="Times New Roman CE"/>
      <charset val="238"/>
    </font>
    <font>
      <sz val="10"/>
      <name val="MS Sans Serif"/>
      <family val="2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Arial CE"/>
      <charset val="238"/>
    </font>
    <font>
      <b/>
      <i/>
      <sz val="9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10"/>
      <color indexed="9"/>
      <name val="Arial"/>
      <family val="2"/>
      <charset val="238"/>
    </font>
    <font>
      <b/>
      <sz val="12"/>
      <color theme="0"/>
      <name val="Arial CE"/>
      <charset val="238"/>
    </font>
    <font>
      <b/>
      <sz val="12"/>
      <name val="Arial CE"/>
      <charset val="238"/>
    </font>
    <font>
      <i/>
      <sz val="12"/>
      <name val="Arial CE"/>
      <charset val="238"/>
    </font>
    <font>
      <b/>
      <sz val="10"/>
      <name val="Calibri"/>
      <family val="2"/>
      <charset val="238"/>
      <scheme val="minor"/>
    </font>
    <font>
      <sz val="9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8"/>
      <name val="Arial CE"/>
      <charset val="238"/>
    </font>
    <font>
      <sz val="10"/>
      <color theme="0" tint="-0.249977111117893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 CE"/>
      <charset val="238"/>
    </font>
    <font>
      <sz val="10"/>
      <color theme="0" tint="-0.34998626667073579"/>
      <name val="Arial CE"/>
      <charset val="238"/>
    </font>
    <font>
      <sz val="12"/>
      <name val="Arial CE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i/>
      <sz val="10"/>
      <name val="Arial"/>
      <family val="2"/>
      <charset val="238"/>
    </font>
    <font>
      <i/>
      <sz val="12"/>
      <name val="Arial"/>
      <family val="2"/>
      <charset val="238"/>
    </font>
    <font>
      <i/>
      <sz val="10"/>
      <name val="Arial CE"/>
      <charset val="238"/>
    </font>
    <font>
      <b/>
      <sz val="10"/>
      <name val="Arial"/>
      <family val="2"/>
      <charset val="238"/>
    </font>
    <font>
      <b/>
      <sz val="12"/>
      <name val="Arial CE"/>
      <charset val="238"/>
    </font>
    <font>
      <sz val="14"/>
      <name val="Arial CE"/>
      <charset val="238"/>
    </font>
    <font>
      <sz val="14"/>
      <name val="Arial"/>
      <family val="2"/>
      <charset val="238"/>
    </font>
    <font>
      <i/>
      <sz val="14"/>
      <name val="Arial"/>
      <family val="2"/>
      <charset val="238"/>
    </font>
    <font>
      <b/>
      <i/>
      <sz val="14"/>
      <name val="Arial"/>
      <family val="2"/>
      <charset val="238"/>
    </font>
    <font>
      <b/>
      <sz val="14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indexed="1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0"/>
      <name val="Arial"/>
      <family val="2"/>
      <charset val="238"/>
    </font>
    <font>
      <sz val="11"/>
      <color indexed="8"/>
      <name val="Calibri"/>
      <family val="2"/>
      <scheme val="minor"/>
    </font>
    <font>
      <b/>
      <sz val="11"/>
      <name val="Arial"/>
      <family val="2"/>
      <charset val="238"/>
    </font>
    <font>
      <b/>
      <sz val="14"/>
      <color theme="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Verdana"/>
      <family val="2"/>
      <charset val="238"/>
    </font>
    <font>
      <b/>
      <sz val="12"/>
      <color theme="0" tint="-0.49998474074526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theme="0" tint="-0.34998626667073579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34998626667073579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0">
    <xf numFmtId="0" fontId="0" fillId="0" borderId="0"/>
    <xf numFmtId="0" fontId="1" fillId="0" borderId="0"/>
    <xf numFmtId="0" fontId="4" fillId="0" borderId="0"/>
    <xf numFmtId="164" fontId="14" fillId="0" borderId="0" applyFont="0" applyFill="0" applyBorder="0" applyAlignment="0" applyProtection="0"/>
    <xf numFmtId="0" fontId="14" fillId="0" borderId="0"/>
    <xf numFmtId="0" fontId="7" fillId="0" borderId="0"/>
    <xf numFmtId="0" fontId="15" fillId="0" borderId="0"/>
    <xf numFmtId="0" fontId="15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/>
    <xf numFmtId="0" fontId="58" fillId="0" borderId="0"/>
    <xf numFmtId="164" fontId="14" fillId="0" borderId="0" applyFont="0" applyFill="0" applyBorder="0" applyAlignment="0" applyProtection="0"/>
    <xf numFmtId="0" fontId="32" fillId="0" borderId="0"/>
    <xf numFmtId="4" fontId="60" fillId="19" borderId="69" applyNumberFormat="0" applyProtection="0">
      <alignment horizontal="left" vertical="center" indent="1"/>
    </xf>
    <xf numFmtId="4" fontId="61" fillId="0" borderId="69" applyNumberFormat="0" applyProtection="0">
      <alignment horizontal="right" vertical="center"/>
    </xf>
    <xf numFmtId="4" fontId="60" fillId="0" borderId="69" applyNumberFormat="0" applyProtection="0">
      <alignment horizontal="right" vertical="center"/>
    </xf>
    <xf numFmtId="0" fontId="67" fillId="0" borderId="0"/>
  </cellStyleXfs>
  <cellXfs count="524">
    <xf numFmtId="0" fontId="0" fillId="0" borderId="0" xfId="0"/>
    <xf numFmtId="0" fontId="3" fillId="0" borderId="0" xfId="1" applyFont="1"/>
    <xf numFmtId="1" fontId="11" fillId="2" borderId="2" xfId="2" applyNumberFormat="1" applyFont="1" applyFill="1" applyBorder="1" applyAlignment="1">
      <alignment horizontal="right" vertical="center" wrapText="1"/>
    </xf>
    <xf numFmtId="3" fontId="11" fillId="2" borderId="2" xfId="2" applyNumberFormat="1" applyFont="1" applyFill="1" applyBorder="1" applyAlignment="1">
      <alignment vertical="center" wrapText="1"/>
    </xf>
    <xf numFmtId="3" fontId="11" fillId="2" borderId="2" xfId="2" applyNumberFormat="1" applyFont="1" applyFill="1" applyBorder="1" applyAlignment="1">
      <alignment horizontal="right" vertical="center"/>
    </xf>
    <xf numFmtId="0" fontId="1" fillId="2" borderId="0" xfId="1" applyFill="1" applyAlignment="1">
      <alignment vertical="center"/>
    </xf>
    <xf numFmtId="3" fontId="12" fillId="2" borderId="2" xfId="2" applyNumberFormat="1" applyFont="1" applyFill="1" applyBorder="1" applyAlignment="1">
      <alignment vertical="center" wrapText="1"/>
    </xf>
    <xf numFmtId="0" fontId="1" fillId="0" borderId="0" xfId="1"/>
    <xf numFmtId="1" fontId="1" fillId="0" borderId="0" xfId="1" applyNumberFormat="1" applyAlignment="1">
      <alignment horizontal="right"/>
    </xf>
    <xf numFmtId="0" fontId="10" fillId="0" borderId="0" xfId="1" applyFont="1" applyAlignment="1">
      <alignment horizontal="left"/>
    </xf>
    <xf numFmtId="0" fontId="1" fillId="2" borderId="0" xfId="1" applyFill="1"/>
    <xf numFmtId="0" fontId="3" fillId="2" borderId="0" xfId="1" applyFont="1" applyFill="1"/>
    <xf numFmtId="166" fontId="19" fillId="2" borderId="13" xfId="1" applyNumberFormat="1" applyFont="1" applyFill="1" applyBorder="1" applyAlignment="1">
      <alignment horizontal="center" vertical="center"/>
    </xf>
    <xf numFmtId="166" fontId="19" fillId="2" borderId="14" xfId="1" applyNumberFormat="1" applyFont="1" applyFill="1" applyBorder="1" applyAlignment="1">
      <alignment horizontal="center" vertical="center"/>
    </xf>
    <xf numFmtId="3" fontId="9" fillId="2" borderId="2" xfId="2" applyNumberFormat="1" applyFont="1" applyFill="1" applyBorder="1" applyAlignment="1">
      <alignment vertical="center" wrapText="1"/>
    </xf>
    <xf numFmtId="166" fontId="20" fillId="2" borderId="13" xfId="1" applyNumberFormat="1" applyFont="1" applyFill="1" applyBorder="1" applyAlignment="1">
      <alignment horizontal="center" vertical="center"/>
    </xf>
    <xf numFmtId="0" fontId="1" fillId="2" borderId="0" xfId="1" applyFill="1" applyAlignment="1">
      <alignment horizontal="center"/>
    </xf>
    <xf numFmtId="1" fontId="1" fillId="2" borderId="0" xfId="1" applyNumberFormat="1" applyFill="1" applyAlignment="1">
      <alignment horizontal="right"/>
    </xf>
    <xf numFmtId="0" fontId="1" fillId="2" borderId="0" xfId="1" applyFill="1" applyAlignment="1">
      <alignment wrapText="1"/>
    </xf>
    <xf numFmtId="3" fontId="8" fillId="2" borderId="5" xfId="2" applyNumberFormat="1" applyFont="1" applyFill="1" applyBorder="1" applyAlignment="1">
      <alignment horizontal="right" vertical="center" wrapText="1"/>
    </xf>
    <xf numFmtId="1" fontId="8" fillId="2" borderId="5" xfId="2" applyNumberFormat="1" applyFont="1" applyFill="1" applyBorder="1" applyAlignment="1">
      <alignment horizontal="right" vertical="center" wrapText="1"/>
    </xf>
    <xf numFmtId="3" fontId="8" fillId="2" borderId="5" xfId="2" applyNumberFormat="1" applyFont="1" applyFill="1" applyBorder="1" applyAlignment="1">
      <alignment horizontal="center" vertical="center" wrapText="1"/>
    </xf>
    <xf numFmtId="1" fontId="5" fillId="2" borderId="5" xfId="2" applyNumberFormat="1" applyFont="1" applyFill="1" applyBorder="1" applyAlignment="1">
      <alignment horizontal="center" vertical="center" wrapText="1"/>
    </xf>
    <xf numFmtId="49" fontId="19" fillId="2" borderId="16" xfId="1" applyNumberFormat="1" applyFont="1" applyFill="1" applyBorder="1" applyAlignment="1">
      <alignment horizontal="center" vertical="center" wrapText="1"/>
    </xf>
    <xf numFmtId="49" fontId="19" fillId="2" borderId="17" xfId="1" applyNumberFormat="1" applyFont="1" applyFill="1" applyBorder="1" applyAlignment="1">
      <alignment horizontal="center" vertical="center" wrapText="1"/>
    </xf>
    <xf numFmtId="49" fontId="19" fillId="2" borderId="17" xfId="2" applyNumberFormat="1" applyFont="1" applyFill="1" applyBorder="1" applyAlignment="1">
      <alignment horizontal="center" vertical="center" wrapText="1"/>
    </xf>
    <xf numFmtId="0" fontId="2" fillId="2" borderId="15" xfId="1" applyFont="1" applyFill="1" applyBorder="1"/>
    <xf numFmtId="1" fontId="3" fillId="2" borderId="15" xfId="1" applyNumberFormat="1" applyFont="1" applyFill="1" applyBorder="1" applyAlignment="1">
      <alignment horizontal="right" wrapText="1"/>
    </xf>
    <xf numFmtId="3" fontId="5" fillId="2" borderId="15" xfId="2" applyNumberFormat="1" applyFont="1" applyFill="1" applyBorder="1" applyAlignment="1">
      <alignment wrapText="1"/>
    </xf>
    <xf numFmtId="3" fontId="5" fillId="2" borderId="15" xfId="2" applyNumberFormat="1" applyFont="1" applyFill="1" applyBorder="1"/>
    <xf numFmtId="3" fontId="6" fillId="2" borderId="15" xfId="2" applyNumberFormat="1" applyFont="1" applyFill="1" applyBorder="1" applyAlignment="1">
      <alignment horizontal="right"/>
    </xf>
    <xf numFmtId="1" fontId="19" fillId="2" borderId="14" xfId="1" applyNumberFormat="1" applyFont="1" applyFill="1" applyBorder="1" applyAlignment="1">
      <alignment horizontal="center" vertical="center"/>
    </xf>
    <xf numFmtId="1" fontId="19" fillId="2" borderId="14" xfId="2" applyNumberFormat="1" applyFont="1" applyFill="1" applyBorder="1" applyAlignment="1">
      <alignment horizontal="center" vertical="center"/>
    </xf>
    <xf numFmtId="0" fontId="19" fillId="2" borderId="6" xfId="1" applyFont="1" applyFill="1" applyBorder="1"/>
    <xf numFmtId="0" fontId="19" fillId="2" borderId="9" xfId="1" applyFont="1" applyFill="1" applyBorder="1"/>
    <xf numFmtId="0" fontId="1" fillId="2" borderId="12" xfId="1" applyFill="1" applyBorder="1" applyAlignment="1">
      <alignment wrapText="1"/>
    </xf>
    <xf numFmtId="0" fontId="1" fillId="2" borderId="12" xfId="1" applyFill="1" applyBorder="1"/>
    <xf numFmtId="3" fontId="1" fillId="2" borderId="0" xfId="1" applyNumberFormat="1" applyFill="1"/>
    <xf numFmtId="0" fontId="21" fillId="0" borderId="0" xfId="0" applyFont="1"/>
    <xf numFmtId="1" fontId="3" fillId="6" borderId="2" xfId="1" applyNumberFormat="1" applyFont="1" applyFill="1" applyBorder="1" applyAlignment="1">
      <alignment horizontal="right" wrapText="1"/>
    </xf>
    <xf numFmtId="3" fontId="5" fillId="6" borderId="2" xfId="2" applyNumberFormat="1" applyFont="1" applyFill="1" applyBorder="1" applyAlignment="1">
      <alignment wrapText="1"/>
    </xf>
    <xf numFmtId="1" fontId="8" fillId="6" borderId="2" xfId="2" applyNumberFormat="1" applyFont="1" applyFill="1" applyBorder="1" applyAlignment="1">
      <alignment horizontal="right" vertical="center" wrapText="1"/>
    </xf>
    <xf numFmtId="3" fontId="8" fillId="6" borderId="2" xfId="2" applyNumberFormat="1" applyFont="1" applyFill="1" applyBorder="1" applyAlignment="1">
      <alignment horizontal="center" vertical="center" wrapText="1"/>
    </xf>
    <xf numFmtId="3" fontId="9" fillId="8" borderId="2" xfId="2" applyNumberFormat="1" applyFont="1" applyFill="1" applyBorder="1" applyAlignment="1">
      <alignment vertical="center" wrapText="1"/>
    </xf>
    <xf numFmtId="1" fontId="9" fillId="8" borderId="2" xfId="2" applyNumberFormat="1" applyFont="1" applyFill="1" applyBorder="1" applyAlignment="1">
      <alignment horizontal="right" vertical="center" wrapText="1"/>
    </xf>
    <xf numFmtId="3" fontId="11" fillId="6" borderId="2" xfId="2" applyNumberFormat="1" applyFont="1" applyFill="1" applyBorder="1" applyAlignment="1">
      <alignment vertical="center" wrapText="1"/>
    </xf>
    <xf numFmtId="1" fontId="11" fillId="6" borderId="2" xfId="2" applyNumberFormat="1" applyFont="1" applyFill="1" applyBorder="1" applyAlignment="1">
      <alignment horizontal="right" vertical="center" wrapText="1"/>
    </xf>
    <xf numFmtId="3" fontId="12" fillId="6" borderId="2" xfId="2" applyNumberFormat="1" applyFont="1" applyFill="1" applyBorder="1" applyAlignment="1">
      <alignment vertical="center" wrapText="1"/>
    </xf>
    <xf numFmtId="3" fontId="22" fillId="9" borderId="2" xfId="2" applyNumberFormat="1" applyFont="1" applyFill="1" applyBorder="1" applyAlignment="1">
      <alignment vertical="center" wrapText="1"/>
    </xf>
    <xf numFmtId="1" fontId="22" fillId="9" borderId="2" xfId="2" applyNumberFormat="1" applyFont="1" applyFill="1" applyBorder="1" applyAlignment="1">
      <alignment horizontal="right" vertical="center" wrapText="1"/>
    </xf>
    <xf numFmtId="3" fontId="22" fillId="10" borderId="2" xfId="2" applyNumberFormat="1" applyFont="1" applyFill="1" applyBorder="1" applyAlignment="1">
      <alignment vertical="center" wrapText="1"/>
    </xf>
    <xf numFmtId="1" fontId="22" fillId="10" borderId="2" xfId="2" applyNumberFormat="1" applyFont="1" applyFill="1" applyBorder="1" applyAlignment="1">
      <alignment horizontal="right" vertical="center" wrapText="1"/>
    </xf>
    <xf numFmtId="3" fontId="11" fillId="11" borderId="2" xfId="2" applyNumberFormat="1" applyFont="1" applyFill="1" applyBorder="1" applyAlignment="1">
      <alignment vertical="center" wrapText="1"/>
    </xf>
    <xf numFmtId="1" fontId="11" fillId="11" borderId="2" xfId="2" applyNumberFormat="1" applyFont="1" applyFill="1" applyBorder="1" applyAlignment="1">
      <alignment horizontal="right" vertical="center" wrapText="1"/>
    </xf>
    <xf numFmtId="3" fontId="9" fillId="6" borderId="2" xfId="2" applyNumberFormat="1" applyFont="1" applyFill="1" applyBorder="1" applyAlignment="1">
      <alignment vertical="center" wrapText="1"/>
    </xf>
    <xf numFmtId="1" fontId="9" fillId="6" borderId="2" xfId="2" applyNumberFormat="1" applyFont="1" applyFill="1" applyBorder="1" applyAlignment="1">
      <alignment horizontal="right" vertical="center" wrapText="1"/>
    </xf>
    <xf numFmtId="3" fontId="9" fillId="11" borderId="2" xfId="2" applyNumberFormat="1" applyFont="1" applyFill="1" applyBorder="1" applyAlignment="1">
      <alignment vertical="center" wrapText="1"/>
    </xf>
    <xf numFmtId="1" fontId="9" fillId="11" borderId="2" xfId="2" applyNumberFormat="1" applyFont="1" applyFill="1" applyBorder="1" applyAlignment="1">
      <alignment horizontal="right" vertical="center" wrapText="1"/>
    </xf>
    <xf numFmtId="3" fontId="8" fillId="2" borderId="15" xfId="2" applyNumberFormat="1" applyFont="1" applyFill="1" applyBorder="1"/>
    <xf numFmtId="3" fontId="1" fillId="2" borderId="0" xfId="1" applyNumberFormat="1" applyFill="1" applyAlignment="1">
      <alignment vertical="center"/>
    </xf>
    <xf numFmtId="3" fontId="9" fillId="12" borderId="2" xfId="2" applyNumberFormat="1" applyFont="1" applyFill="1" applyBorder="1" applyAlignment="1">
      <alignment vertical="center" wrapText="1"/>
    </xf>
    <xf numFmtId="3" fontId="9" fillId="12" borderId="2" xfId="2" applyNumberFormat="1" applyFont="1" applyFill="1" applyBorder="1" applyAlignment="1">
      <alignment horizontal="right" vertical="center"/>
    </xf>
    <xf numFmtId="166" fontId="20" fillId="12" borderId="13" xfId="1" applyNumberFormat="1" applyFont="1" applyFill="1" applyBorder="1" applyAlignment="1">
      <alignment horizontal="center" vertical="center"/>
    </xf>
    <xf numFmtId="166" fontId="19" fillId="12" borderId="14" xfId="1" applyNumberFormat="1" applyFont="1" applyFill="1" applyBorder="1" applyAlignment="1">
      <alignment horizontal="center" vertical="center"/>
    </xf>
    <xf numFmtId="1" fontId="19" fillId="12" borderId="14" xfId="1" applyNumberFormat="1" applyFont="1" applyFill="1" applyBorder="1" applyAlignment="1">
      <alignment horizontal="center" vertical="center"/>
    </xf>
    <xf numFmtId="0" fontId="10" fillId="12" borderId="0" xfId="1" applyFont="1" applyFill="1" applyAlignment="1">
      <alignment vertical="center"/>
    </xf>
    <xf numFmtId="0" fontId="1" fillId="12" borderId="0" xfId="1" applyFill="1" applyAlignment="1">
      <alignment vertical="center"/>
    </xf>
    <xf numFmtId="3" fontId="9" fillId="13" borderId="2" xfId="2" applyNumberFormat="1" applyFont="1" applyFill="1" applyBorder="1" applyAlignment="1">
      <alignment horizontal="right" vertical="center"/>
    </xf>
    <xf numFmtId="3" fontId="9" fillId="13" borderId="2" xfId="2" applyNumberFormat="1" applyFont="1" applyFill="1" applyBorder="1" applyAlignment="1">
      <alignment vertical="center" wrapText="1"/>
    </xf>
    <xf numFmtId="1" fontId="9" fillId="13" borderId="2" xfId="2" applyNumberFormat="1" applyFont="1" applyFill="1" applyBorder="1" applyAlignment="1">
      <alignment horizontal="right" vertical="center" wrapText="1"/>
    </xf>
    <xf numFmtId="166" fontId="19" fillId="13" borderId="14" xfId="1" applyNumberFormat="1" applyFont="1" applyFill="1" applyBorder="1" applyAlignment="1">
      <alignment horizontal="center" vertical="center"/>
    </xf>
    <xf numFmtId="0" fontId="1" fillId="13" borderId="0" xfId="1" applyFill="1" applyAlignment="1">
      <alignment vertical="center"/>
    </xf>
    <xf numFmtId="3" fontId="11" fillId="14" borderId="2" xfId="2" applyNumberFormat="1" applyFont="1" applyFill="1" applyBorder="1" applyAlignment="1">
      <alignment vertical="center" wrapText="1"/>
    </xf>
    <xf numFmtId="1" fontId="11" fillId="14" borderId="2" xfId="2" applyNumberFormat="1" applyFont="1" applyFill="1" applyBorder="1" applyAlignment="1">
      <alignment horizontal="right" vertical="center" wrapText="1"/>
    </xf>
    <xf numFmtId="3" fontId="11" fillId="14" borderId="2" xfId="2" applyNumberFormat="1" applyFont="1" applyFill="1" applyBorder="1" applyAlignment="1">
      <alignment horizontal="right" vertical="center"/>
    </xf>
    <xf numFmtId="0" fontId="1" fillId="14" borderId="0" xfId="1" applyFill="1" applyAlignment="1">
      <alignment vertical="center"/>
    </xf>
    <xf numFmtId="3" fontId="23" fillId="3" borderId="10" xfId="2" applyNumberFormat="1" applyFont="1" applyFill="1" applyBorder="1" applyAlignment="1">
      <alignment horizontal="right" vertical="center"/>
    </xf>
    <xf numFmtId="1" fontId="19" fillId="13" borderId="14" xfId="1" applyNumberFormat="1" applyFont="1" applyFill="1" applyBorder="1" applyAlignment="1">
      <alignment horizontal="center" vertical="center"/>
    </xf>
    <xf numFmtId="3" fontId="9" fillId="2" borderId="2" xfId="2" applyNumberFormat="1" applyFont="1" applyFill="1" applyBorder="1" applyAlignment="1">
      <alignment horizontal="right" vertical="center"/>
    </xf>
    <xf numFmtId="10" fontId="11" fillId="2" borderId="2" xfId="2" applyNumberFormat="1" applyFont="1" applyFill="1" applyBorder="1" applyAlignment="1">
      <alignment horizontal="right" vertical="center"/>
    </xf>
    <xf numFmtId="1" fontId="17" fillId="2" borderId="2" xfId="2" applyNumberFormat="1" applyFont="1" applyFill="1" applyBorder="1" applyAlignment="1">
      <alignment horizontal="left" vertical="center" wrapText="1"/>
    </xf>
    <xf numFmtId="0" fontId="1" fillId="0" borderId="2" xfId="1" applyBorder="1" applyAlignment="1">
      <alignment horizontal="left" wrapText="1"/>
    </xf>
    <xf numFmtId="0" fontId="1" fillId="0" borderId="4" xfId="1" applyBorder="1" applyAlignment="1">
      <alignment horizontal="left" wrapText="1"/>
    </xf>
    <xf numFmtId="0" fontId="1" fillId="0" borderId="5" xfId="1" applyBorder="1" applyAlignment="1">
      <alignment horizontal="left" wrapText="1"/>
    </xf>
    <xf numFmtId="0" fontId="1" fillId="0" borderId="0" xfId="1" applyAlignment="1">
      <alignment horizontal="left" wrapText="1"/>
    </xf>
    <xf numFmtId="3" fontId="17" fillId="2" borderId="2" xfId="2" applyNumberFormat="1" applyFont="1" applyFill="1" applyBorder="1" applyAlignment="1">
      <alignment horizontal="left" vertical="center" wrapText="1"/>
    </xf>
    <xf numFmtId="3" fontId="17" fillId="2" borderId="3" xfId="2" applyNumberFormat="1" applyFont="1" applyFill="1" applyBorder="1" applyAlignment="1">
      <alignment horizontal="left" vertical="center" wrapText="1"/>
    </xf>
    <xf numFmtId="0" fontId="10" fillId="0" borderId="0" xfId="1" applyFont="1" applyAlignment="1">
      <alignment horizontal="left" wrapText="1"/>
    </xf>
    <xf numFmtId="0" fontId="10" fillId="0" borderId="0" xfId="1" applyFont="1"/>
    <xf numFmtId="0" fontId="1" fillId="2" borderId="0" xfId="1" applyFill="1" applyAlignment="1">
      <alignment vertical="center" wrapText="1"/>
    </xf>
    <xf numFmtId="0" fontId="1" fillId="0" borderId="0" xfId="1" applyAlignment="1">
      <alignment wrapText="1"/>
    </xf>
    <xf numFmtId="165" fontId="10" fillId="2" borderId="0" xfId="2" applyNumberFormat="1" applyFont="1" applyFill="1" applyAlignment="1">
      <alignment horizontal="left" vertical="center"/>
    </xf>
    <xf numFmtId="3" fontId="5" fillId="2" borderId="11" xfId="2" applyNumberFormat="1" applyFont="1" applyFill="1" applyBorder="1" applyAlignment="1">
      <alignment vertical="center"/>
    </xf>
    <xf numFmtId="1" fontId="17" fillId="2" borderId="5" xfId="2" applyNumberFormat="1" applyFont="1" applyFill="1" applyBorder="1" applyAlignment="1">
      <alignment horizontal="right" vertical="center" wrapText="1"/>
    </xf>
    <xf numFmtId="3" fontId="17" fillId="2" borderId="5" xfId="2" applyNumberFormat="1" applyFont="1" applyFill="1" applyBorder="1" applyAlignment="1">
      <alignment horizontal="left" vertical="center" wrapText="1"/>
    </xf>
    <xf numFmtId="1" fontId="17" fillId="2" borderId="3" xfId="2" applyNumberFormat="1" applyFont="1" applyFill="1" applyBorder="1" applyAlignment="1">
      <alignment horizontal="right" vertical="center" wrapText="1"/>
    </xf>
    <xf numFmtId="0" fontId="10" fillId="2" borderId="5" xfId="1" applyFont="1" applyFill="1" applyBorder="1" applyAlignment="1">
      <alignment horizontal="left" wrapText="1"/>
    </xf>
    <xf numFmtId="0" fontId="10" fillId="2" borderId="19" xfId="1" applyFont="1" applyFill="1" applyBorder="1" applyAlignment="1">
      <alignment horizontal="left" wrapText="1"/>
    </xf>
    <xf numFmtId="1" fontId="17" fillId="2" borderId="3" xfId="2" applyNumberFormat="1" applyFont="1" applyFill="1" applyBorder="1" applyAlignment="1">
      <alignment horizontal="left" vertical="center" wrapText="1"/>
    </xf>
    <xf numFmtId="3" fontId="11" fillId="14" borderId="3" xfId="2" applyNumberFormat="1" applyFont="1" applyFill="1" applyBorder="1" applyAlignment="1">
      <alignment vertical="center" wrapText="1"/>
    </xf>
    <xf numFmtId="1" fontId="11" fillId="14" borderId="3" xfId="2" applyNumberFormat="1" applyFont="1" applyFill="1" applyBorder="1" applyAlignment="1">
      <alignment horizontal="right" vertical="center" wrapText="1"/>
    </xf>
    <xf numFmtId="3" fontId="11" fillId="14" borderId="3" xfId="2" applyNumberFormat="1" applyFont="1" applyFill="1" applyBorder="1" applyAlignment="1">
      <alignment horizontal="right" vertical="center"/>
    </xf>
    <xf numFmtId="3" fontId="11" fillId="14" borderId="5" xfId="2" applyNumberFormat="1" applyFont="1" applyFill="1" applyBorder="1" applyAlignment="1">
      <alignment vertical="center" wrapText="1"/>
    </xf>
    <xf numFmtId="1" fontId="11" fillId="14" borderId="5" xfId="2" applyNumberFormat="1" applyFont="1" applyFill="1" applyBorder="1" applyAlignment="1">
      <alignment horizontal="right" vertical="center" wrapText="1"/>
    </xf>
    <xf numFmtId="3" fontId="11" fillId="14" borderId="5" xfId="2" applyNumberFormat="1" applyFont="1" applyFill="1" applyBorder="1" applyAlignment="1">
      <alignment horizontal="right" vertical="center"/>
    </xf>
    <xf numFmtId="166" fontId="1" fillId="14" borderId="25" xfId="1" applyNumberFormat="1" applyFill="1" applyBorder="1" applyAlignment="1">
      <alignment horizontal="center" vertical="center"/>
    </xf>
    <xf numFmtId="3" fontId="9" fillId="2" borderId="24" xfId="2" applyNumberFormat="1" applyFont="1" applyFill="1" applyBorder="1" applyAlignment="1">
      <alignment horizontal="right" vertical="center"/>
    </xf>
    <xf numFmtId="3" fontId="9" fillId="2" borderId="23" xfId="2" applyNumberFormat="1" applyFont="1" applyFill="1" applyBorder="1" applyAlignment="1">
      <alignment vertical="center" wrapText="1"/>
    </xf>
    <xf numFmtId="1" fontId="9" fillId="2" borderId="24" xfId="2" applyNumberFormat="1" applyFont="1" applyFill="1" applyBorder="1" applyAlignment="1">
      <alignment horizontal="right" vertical="center" wrapText="1"/>
    </xf>
    <xf numFmtId="3" fontId="9" fillId="2" borderId="24" xfId="2" applyNumberFormat="1" applyFont="1" applyFill="1" applyBorder="1" applyAlignment="1">
      <alignment vertical="center" wrapText="1"/>
    </xf>
    <xf numFmtId="3" fontId="9" fillId="2" borderId="28" xfId="2" applyNumberFormat="1" applyFont="1" applyFill="1" applyBorder="1" applyAlignment="1">
      <alignment horizontal="right" vertical="center"/>
    </xf>
    <xf numFmtId="3" fontId="5" fillId="2" borderId="29" xfId="2" applyNumberFormat="1" applyFont="1" applyFill="1" applyBorder="1" applyAlignment="1">
      <alignment vertical="center"/>
    </xf>
    <xf numFmtId="3" fontId="9" fillId="4" borderId="24" xfId="2" applyNumberFormat="1" applyFont="1" applyFill="1" applyBorder="1" applyAlignment="1">
      <alignment horizontal="right" vertical="center"/>
    </xf>
    <xf numFmtId="3" fontId="9" fillId="4" borderId="28" xfId="2" applyNumberFormat="1" applyFont="1" applyFill="1" applyBorder="1" applyAlignment="1">
      <alignment horizontal="right" vertical="center"/>
    </xf>
    <xf numFmtId="3" fontId="5" fillId="4" borderId="29" xfId="2" applyNumberFormat="1" applyFont="1" applyFill="1" applyBorder="1" applyAlignment="1">
      <alignment vertical="center"/>
    </xf>
    <xf numFmtId="3" fontId="9" fillId="4" borderId="23" xfId="2" applyNumberFormat="1" applyFont="1" applyFill="1" applyBorder="1" applyAlignment="1">
      <alignment vertical="center" wrapText="1"/>
    </xf>
    <xf numFmtId="1" fontId="9" fillId="4" borderId="24" xfId="2" applyNumberFormat="1" applyFont="1" applyFill="1" applyBorder="1" applyAlignment="1">
      <alignment horizontal="right" vertical="center" wrapText="1"/>
    </xf>
    <xf numFmtId="3" fontId="9" fillId="4" borderId="24" xfId="2" applyNumberFormat="1" applyFont="1" applyFill="1" applyBorder="1" applyAlignment="1">
      <alignment vertical="center" wrapText="1"/>
    </xf>
    <xf numFmtId="0" fontId="10" fillId="2" borderId="0" xfId="1" applyFont="1" applyFill="1" applyAlignment="1">
      <alignment vertical="center"/>
    </xf>
    <xf numFmtId="1" fontId="12" fillId="2" borderId="2" xfId="2" applyNumberFormat="1" applyFont="1" applyFill="1" applyBorder="1" applyAlignment="1">
      <alignment horizontal="right" vertical="center" wrapText="1"/>
    </xf>
    <xf numFmtId="3" fontId="12" fillId="2" borderId="2" xfId="2" applyNumberFormat="1" applyFont="1" applyFill="1" applyBorder="1" applyAlignment="1">
      <alignment horizontal="right" vertical="center"/>
    </xf>
    <xf numFmtId="0" fontId="13" fillId="2" borderId="0" xfId="1" applyFont="1" applyFill="1" applyAlignment="1">
      <alignment vertical="center"/>
    </xf>
    <xf numFmtId="166" fontId="20" fillId="2" borderId="30" xfId="1" applyNumberFormat="1" applyFont="1" applyFill="1" applyBorder="1" applyAlignment="1">
      <alignment horizontal="center" vertical="center"/>
    </xf>
    <xf numFmtId="3" fontId="9" fillId="13" borderId="3" xfId="2" applyNumberFormat="1" applyFont="1" applyFill="1" applyBorder="1" applyAlignment="1">
      <alignment vertical="center" wrapText="1"/>
    </xf>
    <xf numFmtId="3" fontId="9" fillId="13" borderId="3" xfId="2" applyNumberFormat="1" applyFont="1" applyFill="1" applyBorder="1" applyAlignment="1">
      <alignment horizontal="right" vertical="center"/>
    </xf>
    <xf numFmtId="3" fontId="11" fillId="2" borderId="5" xfId="2" applyNumberFormat="1" applyFont="1" applyFill="1" applyBorder="1" applyAlignment="1">
      <alignment vertical="center" wrapText="1"/>
    </xf>
    <xf numFmtId="3" fontId="11" fillId="2" borderId="5" xfId="2" applyNumberFormat="1" applyFont="1" applyFill="1" applyBorder="1" applyAlignment="1">
      <alignment horizontal="right" vertical="center"/>
    </xf>
    <xf numFmtId="3" fontId="11" fillId="2" borderId="3" xfId="2" applyNumberFormat="1" applyFont="1" applyFill="1" applyBorder="1" applyAlignment="1">
      <alignment vertical="center" wrapText="1"/>
    </xf>
    <xf numFmtId="3" fontId="11" fillId="2" borderId="3" xfId="2" applyNumberFormat="1" applyFont="1" applyFill="1" applyBorder="1" applyAlignment="1">
      <alignment horizontal="right" vertical="center"/>
    </xf>
    <xf numFmtId="166" fontId="19" fillId="2" borderId="16" xfId="1" applyNumberFormat="1" applyFont="1" applyFill="1" applyBorder="1" applyAlignment="1">
      <alignment horizontal="center" vertical="center"/>
    </xf>
    <xf numFmtId="166" fontId="19" fillId="2" borderId="17" xfId="1" applyNumberFormat="1" applyFont="1" applyFill="1" applyBorder="1" applyAlignment="1">
      <alignment horizontal="center" vertical="center"/>
    </xf>
    <xf numFmtId="165" fontId="24" fillId="2" borderId="31" xfId="2" applyNumberFormat="1" applyFont="1" applyFill="1" applyBorder="1" applyAlignment="1">
      <alignment horizontal="left" vertical="center"/>
    </xf>
    <xf numFmtId="165" fontId="3" fillId="2" borderId="0" xfId="2" applyNumberFormat="1" applyFont="1" applyFill="1" applyAlignment="1">
      <alignment horizontal="center" vertical="center"/>
    </xf>
    <xf numFmtId="165" fontId="25" fillId="2" borderId="32" xfId="2" applyNumberFormat="1" applyFont="1" applyFill="1" applyBorder="1" applyAlignment="1">
      <alignment horizontal="right" vertical="center"/>
    </xf>
    <xf numFmtId="3" fontId="11" fillId="14" borderId="33" xfId="2" applyNumberFormat="1" applyFont="1" applyFill="1" applyBorder="1" applyAlignment="1">
      <alignment vertical="center" wrapText="1"/>
    </xf>
    <xf numFmtId="3" fontId="11" fillId="14" borderId="34" xfId="2" applyNumberFormat="1" applyFont="1" applyFill="1" applyBorder="1" applyAlignment="1">
      <alignment vertical="center" wrapText="1"/>
    </xf>
    <xf numFmtId="3" fontId="11" fillId="14" borderId="34" xfId="2" applyNumberFormat="1" applyFont="1" applyFill="1" applyBorder="1" applyAlignment="1">
      <alignment horizontal="right" vertical="center"/>
    </xf>
    <xf numFmtId="3" fontId="11" fillId="14" borderId="36" xfId="2" applyNumberFormat="1" applyFont="1" applyFill="1" applyBorder="1" applyAlignment="1">
      <alignment vertical="center" wrapText="1"/>
    </xf>
    <xf numFmtId="3" fontId="11" fillId="14" borderId="4" xfId="2" applyNumberFormat="1" applyFont="1" applyFill="1" applyBorder="1" applyAlignment="1">
      <alignment vertical="center" wrapText="1"/>
    </xf>
    <xf numFmtId="3" fontId="11" fillId="14" borderId="4" xfId="2" applyNumberFormat="1" applyFont="1" applyFill="1" applyBorder="1" applyAlignment="1">
      <alignment horizontal="right" vertical="center"/>
    </xf>
    <xf numFmtId="1" fontId="19" fillId="2" borderId="30" xfId="1" applyNumberFormat="1" applyFont="1" applyFill="1" applyBorder="1" applyAlignment="1">
      <alignment horizontal="center" vertical="center"/>
    </xf>
    <xf numFmtId="1" fontId="19" fillId="2" borderId="30" xfId="2" applyNumberFormat="1" applyFont="1" applyFill="1" applyBorder="1" applyAlignment="1">
      <alignment horizontal="center" vertical="center"/>
    </xf>
    <xf numFmtId="166" fontId="19" fillId="2" borderId="38" xfId="1" applyNumberFormat="1" applyFont="1" applyFill="1" applyBorder="1" applyAlignment="1">
      <alignment horizontal="center" vertical="center"/>
    </xf>
    <xf numFmtId="3" fontId="5" fillId="2" borderId="41" xfId="2" applyNumberFormat="1" applyFont="1" applyFill="1" applyBorder="1" applyAlignment="1">
      <alignment vertical="center"/>
    </xf>
    <xf numFmtId="1" fontId="27" fillId="2" borderId="15" xfId="1" applyNumberFormat="1" applyFont="1" applyFill="1" applyBorder="1" applyAlignment="1">
      <alignment horizontal="right" wrapText="1"/>
    </xf>
    <xf numFmtId="1" fontId="28" fillId="2" borderId="5" xfId="2" applyNumberFormat="1" applyFont="1" applyFill="1" applyBorder="1" applyAlignment="1">
      <alignment horizontal="right" vertical="center" wrapText="1"/>
    </xf>
    <xf numFmtId="1" fontId="29" fillId="12" borderId="2" xfId="2" applyNumberFormat="1" applyFont="1" applyFill="1" applyBorder="1" applyAlignment="1">
      <alignment horizontal="right" vertical="center" wrapText="1"/>
    </xf>
    <xf numFmtId="1" fontId="28" fillId="2" borderId="2" xfId="2" applyNumberFormat="1" applyFont="1" applyFill="1" applyBorder="1" applyAlignment="1">
      <alignment horizontal="right" vertical="center" wrapText="1"/>
    </xf>
    <xf numFmtId="1" fontId="29" fillId="13" borderId="2" xfId="2" applyNumberFormat="1" applyFont="1" applyFill="1" applyBorder="1" applyAlignment="1">
      <alignment horizontal="right" vertical="center" wrapText="1"/>
    </xf>
    <xf numFmtId="1" fontId="29" fillId="13" borderId="3" xfId="2" applyNumberFormat="1" applyFont="1" applyFill="1" applyBorder="1" applyAlignment="1">
      <alignment horizontal="right" vertical="center" wrapText="1"/>
    </xf>
    <xf numFmtId="1" fontId="29" fillId="2" borderId="24" xfId="2" applyNumberFormat="1" applyFont="1" applyFill="1" applyBorder="1" applyAlignment="1">
      <alignment horizontal="right" vertical="center" wrapText="1"/>
    </xf>
    <xf numFmtId="1" fontId="28" fillId="2" borderId="3" xfId="2" applyNumberFormat="1" applyFont="1" applyFill="1" applyBorder="1" applyAlignment="1">
      <alignment horizontal="right" vertical="center" wrapText="1"/>
    </xf>
    <xf numFmtId="1" fontId="28" fillId="14" borderId="34" xfId="2" applyNumberFormat="1" applyFont="1" applyFill="1" applyBorder="1" applyAlignment="1">
      <alignment horizontal="right" vertical="center" wrapText="1"/>
    </xf>
    <xf numFmtId="1" fontId="28" fillId="14" borderId="4" xfId="2" applyNumberFormat="1" applyFont="1" applyFill="1" applyBorder="1" applyAlignment="1">
      <alignment horizontal="right" vertical="center" wrapText="1"/>
    </xf>
    <xf numFmtId="1" fontId="29" fillId="2" borderId="2" xfId="2" applyNumberFormat="1" applyFont="1" applyFill="1" applyBorder="1" applyAlignment="1">
      <alignment horizontal="right" vertical="center" wrapText="1"/>
    </xf>
    <xf numFmtId="1" fontId="28" fillId="14" borderId="3" xfId="2" applyNumberFormat="1" applyFont="1" applyFill="1" applyBorder="1" applyAlignment="1">
      <alignment horizontal="right" vertical="center" wrapText="1"/>
    </xf>
    <xf numFmtId="1" fontId="28" fillId="14" borderId="2" xfId="2" applyNumberFormat="1" applyFont="1" applyFill="1" applyBorder="1" applyAlignment="1">
      <alignment horizontal="right" vertical="center" wrapText="1"/>
    </xf>
    <xf numFmtId="1" fontId="27" fillId="2" borderId="0" xfId="1" applyNumberFormat="1" applyFont="1" applyFill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right"/>
    </xf>
    <xf numFmtId="3" fontId="16" fillId="2" borderId="0" xfId="0" applyNumberFormat="1" applyFont="1" applyFill="1" applyAlignment="1">
      <alignment horizontal="right"/>
    </xf>
    <xf numFmtId="0" fontId="16" fillId="2" borderId="0" xfId="0" applyFont="1" applyFill="1"/>
    <xf numFmtId="1" fontId="31" fillId="5" borderId="2" xfId="2" applyNumberFormat="1" applyFont="1" applyFill="1" applyBorder="1" applyAlignment="1">
      <alignment horizontal="left" vertical="center" wrapText="1"/>
    </xf>
    <xf numFmtId="1" fontId="31" fillId="5" borderId="2" xfId="2" applyNumberFormat="1" applyFont="1" applyFill="1" applyBorder="1" applyAlignment="1">
      <alignment horizontal="right" vertical="center" wrapText="1"/>
    </xf>
    <xf numFmtId="0" fontId="30" fillId="0" borderId="2" xfId="0" applyFont="1" applyBorder="1" applyAlignment="1">
      <alignment wrapText="1"/>
    </xf>
    <xf numFmtId="3" fontId="30" fillId="0" borderId="2" xfId="0" applyNumberFormat="1" applyFont="1" applyBorder="1" applyAlignment="1">
      <alignment wrapText="1"/>
    </xf>
    <xf numFmtId="3" fontId="30" fillId="0" borderId="2" xfId="0" applyNumberFormat="1" applyFont="1" applyBorder="1" applyAlignment="1">
      <alignment horizontal="right" wrapText="1"/>
    </xf>
    <xf numFmtId="0" fontId="16" fillId="0" borderId="2" xfId="0" applyFont="1" applyBorder="1" applyAlignment="1">
      <alignment wrapText="1"/>
    </xf>
    <xf numFmtId="3" fontId="16" fillId="0" borderId="2" xfId="0" applyNumberFormat="1" applyFont="1" applyBorder="1" applyAlignment="1">
      <alignment wrapText="1"/>
    </xf>
    <xf numFmtId="3" fontId="16" fillId="0" borderId="2" xfId="0" applyNumberFormat="1" applyFont="1" applyBorder="1" applyAlignment="1">
      <alignment horizontal="right" wrapText="1"/>
    </xf>
    <xf numFmtId="0" fontId="16" fillId="2" borderId="2" xfId="0" applyFont="1" applyFill="1" applyBorder="1" applyAlignment="1">
      <alignment wrapText="1"/>
    </xf>
    <xf numFmtId="3" fontId="16" fillId="2" borderId="2" xfId="0" applyNumberFormat="1" applyFont="1" applyFill="1" applyBorder="1" applyAlignment="1">
      <alignment wrapText="1"/>
    </xf>
    <xf numFmtId="3" fontId="16" fillId="2" borderId="2" xfId="0" applyNumberFormat="1" applyFont="1" applyFill="1" applyBorder="1" applyAlignment="1">
      <alignment horizontal="right" wrapText="1"/>
    </xf>
    <xf numFmtId="3" fontId="30" fillId="2" borderId="2" xfId="0" applyNumberFormat="1" applyFont="1" applyFill="1" applyBorder="1" applyAlignment="1">
      <alignment wrapText="1"/>
    </xf>
    <xf numFmtId="1" fontId="30" fillId="5" borderId="2" xfId="2" applyNumberFormat="1" applyFont="1" applyFill="1" applyBorder="1" applyAlignment="1">
      <alignment horizontal="left" vertical="center" wrapText="1"/>
    </xf>
    <xf numFmtId="3" fontId="30" fillId="5" borderId="2" xfId="2" applyNumberFormat="1" applyFont="1" applyFill="1" applyBorder="1" applyAlignment="1">
      <alignment horizontal="right" vertical="center" wrapText="1"/>
    </xf>
    <xf numFmtId="3" fontId="16" fillId="0" borderId="6" xfId="0" applyNumberFormat="1" applyFont="1" applyBorder="1" applyAlignment="1">
      <alignment horizontal="right" wrapText="1"/>
    </xf>
    <xf numFmtId="1" fontId="30" fillId="5" borderId="2" xfId="2" applyNumberFormat="1" applyFont="1" applyFill="1" applyBorder="1" applyAlignment="1">
      <alignment horizontal="right" vertical="center" wrapText="1"/>
    </xf>
    <xf numFmtId="0" fontId="16" fillId="0" borderId="2" xfId="0" applyFont="1" applyBorder="1" applyAlignment="1">
      <alignment horizontal="right" wrapText="1"/>
    </xf>
    <xf numFmtId="166" fontId="1" fillId="2" borderId="18" xfId="1" applyNumberFormat="1" applyFill="1" applyBorder="1" applyAlignment="1">
      <alignment horizontal="center" vertical="center"/>
    </xf>
    <xf numFmtId="165" fontId="1" fillId="2" borderId="0" xfId="2" applyNumberFormat="1" applyFont="1" applyFill="1" applyAlignment="1">
      <alignment horizontal="center" vertical="center"/>
    </xf>
    <xf numFmtId="166" fontId="13" fillId="2" borderId="7" xfId="1" applyNumberFormat="1" applyFont="1" applyFill="1" applyBorder="1" applyAlignment="1">
      <alignment horizontal="right"/>
    </xf>
    <xf numFmtId="1" fontId="20" fillId="12" borderId="14" xfId="1" applyNumberFormat="1" applyFont="1" applyFill="1" applyBorder="1" applyAlignment="1">
      <alignment horizontal="center" vertical="center"/>
    </xf>
    <xf numFmtId="3" fontId="1" fillId="15" borderId="0" xfId="1" applyNumberFormat="1" applyFill="1" applyAlignment="1">
      <alignment vertical="center"/>
    </xf>
    <xf numFmtId="0" fontId="32" fillId="0" borderId="0" xfId="0" applyFont="1" applyAlignment="1">
      <alignment wrapText="1"/>
    </xf>
    <xf numFmtId="0" fontId="32" fillId="0" borderId="0" xfId="0" applyFont="1"/>
    <xf numFmtId="0" fontId="33" fillId="0" borderId="0" xfId="0" applyFont="1"/>
    <xf numFmtId="0" fontId="32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32" fillId="0" borderId="0" xfId="0" applyFont="1" applyAlignment="1">
      <alignment horizontal="right" vertical="center" textRotation="180"/>
    </xf>
    <xf numFmtId="0" fontId="32" fillId="0" borderId="0" xfId="0" applyFont="1" applyAlignment="1">
      <alignment horizontal="center"/>
    </xf>
    <xf numFmtId="0" fontId="32" fillId="4" borderId="0" xfId="0" applyFont="1" applyFill="1" applyAlignment="1">
      <alignment vertical="center"/>
    </xf>
    <xf numFmtId="0" fontId="32" fillId="12" borderId="0" xfId="0" applyFont="1" applyFill="1" applyAlignment="1">
      <alignment vertical="center"/>
    </xf>
    <xf numFmtId="0" fontId="32" fillId="15" borderId="0" xfId="0" applyFont="1" applyFill="1" applyAlignment="1">
      <alignment vertical="center"/>
    </xf>
    <xf numFmtId="0" fontId="32" fillId="16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32" fillId="0" borderId="0" xfId="0" applyFont="1" applyAlignment="1">
      <alignment horizontal="right" wrapText="1"/>
    </xf>
    <xf numFmtId="0" fontId="31" fillId="0" borderId="0" xfId="0" applyFont="1" applyAlignment="1">
      <alignment horizontal="right"/>
    </xf>
    <xf numFmtId="0" fontId="32" fillId="0" borderId="2" xfId="0" applyFont="1" applyBorder="1" applyAlignment="1">
      <alignment horizontal="justify" vertical="center" wrapText="1"/>
    </xf>
    <xf numFmtId="166" fontId="20" fillId="12" borderId="14" xfId="1" applyNumberFormat="1" applyFont="1" applyFill="1" applyBorder="1" applyAlignment="1">
      <alignment horizontal="center" vertical="center"/>
    </xf>
    <xf numFmtId="166" fontId="19" fillId="2" borderId="39" xfId="1" applyNumberFormat="1" applyFont="1" applyFill="1" applyBorder="1" applyAlignment="1">
      <alignment horizontal="center" vertical="center"/>
    </xf>
    <xf numFmtId="3" fontId="26" fillId="2" borderId="26" xfId="2" applyNumberFormat="1" applyFont="1" applyFill="1" applyBorder="1" applyAlignment="1">
      <alignment horizontal="left" vertical="center" wrapText="1"/>
    </xf>
    <xf numFmtId="3" fontId="26" fillId="2" borderId="27" xfId="2" applyNumberFormat="1" applyFont="1" applyFill="1" applyBorder="1" applyAlignment="1">
      <alignment horizontal="left" vertical="center" wrapText="1"/>
    </xf>
    <xf numFmtId="1" fontId="16" fillId="2" borderId="23" xfId="2" applyNumberFormat="1" applyFont="1" applyFill="1" applyBorder="1" applyAlignment="1">
      <alignment horizontal="left" vertical="center"/>
    </xf>
    <xf numFmtId="3" fontId="16" fillId="2" borderId="24" xfId="2" applyNumberFormat="1" applyFont="1" applyFill="1" applyBorder="1" applyAlignment="1">
      <alignment horizontal="left" vertical="center" wrapText="1"/>
    </xf>
    <xf numFmtId="0" fontId="11" fillId="0" borderId="0" xfId="1" applyFont="1"/>
    <xf numFmtId="0" fontId="12" fillId="0" borderId="0" xfId="1" applyFont="1" applyAlignment="1">
      <alignment horizontal="right"/>
    </xf>
    <xf numFmtId="0" fontId="11" fillId="0" borderId="0" xfId="1" applyFont="1" applyAlignment="1">
      <alignment horizontal="right"/>
    </xf>
    <xf numFmtId="0" fontId="9" fillId="2" borderId="0" xfId="1" applyFont="1" applyFill="1" applyAlignment="1">
      <alignment horizontal="right"/>
    </xf>
    <xf numFmtId="1" fontId="11" fillId="2" borderId="24" xfId="2" applyNumberFormat="1" applyFont="1" applyFill="1" applyBorder="1" applyAlignment="1">
      <alignment horizontal="center" vertical="center" wrapText="1"/>
    </xf>
    <xf numFmtId="2" fontId="9" fillId="2" borderId="20" xfId="1" applyNumberFormat="1" applyFont="1" applyFill="1" applyBorder="1" applyAlignment="1">
      <alignment horizontal="right" wrapText="1"/>
    </xf>
    <xf numFmtId="3" fontId="9" fillId="2" borderId="21" xfId="1" applyNumberFormat="1" applyFont="1" applyFill="1" applyBorder="1" applyAlignment="1">
      <alignment horizontal="right" vertical="center"/>
    </xf>
    <xf numFmtId="3" fontId="9" fillId="2" borderId="20" xfId="1" applyNumberFormat="1" applyFont="1" applyFill="1" applyBorder="1" applyAlignment="1">
      <alignment horizontal="right" vertical="center"/>
    </xf>
    <xf numFmtId="9" fontId="9" fillId="2" borderId="19" xfId="1" applyNumberFormat="1" applyFont="1" applyFill="1" applyBorder="1"/>
    <xf numFmtId="9" fontId="11" fillId="0" borderId="2" xfId="1" applyNumberFormat="1" applyFont="1" applyBorder="1"/>
    <xf numFmtId="9" fontId="11" fillId="0" borderId="4" xfId="1" applyNumberFormat="1" applyFont="1" applyBorder="1"/>
    <xf numFmtId="3" fontId="11" fillId="2" borderId="42" xfId="2" applyNumberFormat="1" applyFont="1" applyFill="1" applyBorder="1" applyAlignment="1">
      <alignment horizontal="right" vertical="center"/>
    </xf>
    <xf numFmtId="3" fontId="11" fillId="2" borderId="22" xfId="2" applyNumberFormat="1" applyFont="1" applyFill="1" applyBorder="1" applyAlignment="1">
      <alignment horizontal="right" vertical="center"/>
    </xf>
    <xf numFmtId="9" fontId="9" fillId="0" borderId="0" xfId="1" applyNumberFormat="1" applyFont="1"/>
    <xf numFmtId="0" fontId="12" fillId="2" borderId="0" xfId="1" applyFont="1" applyFill="1" applyAlignment="1">
      <alignment horizontal="right"/>
    </xf>
    <xf numFmtId="0" fontId="12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11" fillId="2" borderId="0" xfId="1" applyFont="1" applyFill="1"/>
    <xf numFmtId="0" fontId="1" fillId="2" borderId="0" xfId="1" applyFill="1" applyAlignment="1">
      <alignment horizontal="left" wrapText="1"/>
    </xf>
    <xf numFmtId="0" fontId="1" fillId="2" borderId="19" xfId="1" applyFill="1" applyBorder="1" applyAlignment="1">
      <alignment horizontal="left" wrapText="1"/>
    </xf>
    <xf numFmtId="3" fontId="11" fillId="2" borderId="19" xfId="1" applyNumberFormat="1" applyFont="1" applyFill="1" applyBorder="1"/>
    <xf numFmtId="3" fontId="11" fillId="2" borderId="21" xfId="1" applyNumberFormat="1" applyFont="1" applyFill="1" applyBorder="1" applyAlignment="1">
      <alignment horizontal="right" vertical="center"/>
    </xf>
    <xf numFmtId="3" fontId="17" fillId="2" borderId="6" xfId="2" applyNumberFormat="1" applyFont="1" applyFill="1" applyBorder="1" applyAlignment="1">
      <alignment horizontal="left" vertical="center" wrapText="1"/>
    </xf>
    <xf numFmtId="3" fontId="17" fillId="2" borderId="8" xfId="2" applyNumberFormat="1" applyFont="1" applyFill="1" applyBorder="1" applyAlignment="1">
      <alignment horizontal="left" vertical="center" wrapText="1"/>
    </xf>
    <xf numFmtId="3" fontId="17" fillId="2" borderId="26" xfId="2" applyNumberFormat="1" applyFont="1" applyFill="1" applyBorder="1" applyAlignment="1">
      <alignment horizontal="left" vertical="center" wrapText="1"/>
    </xf>
    <xf numFmtId="3" fontId="17" fillId="2" borderId="27" xfId="2" applyNumberFormat="1" applyFont="1" applyFill="1" applyBorder="1" applyAlignment="1">
      <alignment horizontal="left" vertical="center" wrapText="1"/>
    </xf>
    <xf numFmtId="3" fontId="11" fillId="2" borderId="24" xfId="2" applyNumberFormat="1" applyFont="1" applyFill="1" applyBorder="1" applyAlignment="1">
      <alignment horizontal="right" vertical="center"/>
    </xf>
    <xf numFmtId="0" fontId="19" fillId="2" borderId="25" xfId="1" applyFont="1" applyFill="1" applyBorder="1"/>
    <xf numFmtId="0" fontId="19" fillId="2" borderId="0" xfId="1" applyFont="1" applyFill="1"/>
    <xf numFmtId="49" fontId="19" fillId="2" borderId="25" xfId="1" applyNumberFormat="1" applyFont="1" applyFill="1" applyBorder="1" applyAlignment="1">
      <alignment horizontal="center" vertical="center" wrapText="1"/>
    </xf>
    <xf numFmtId="166" fontId="20" fillId="2" borderId="25" xfId="1" applyNumberFormat="1" applyFont="1" applyFill="1" applyBorder="1" applyAlignment="1">
      <alignment horizontal="center" vertical="center"/>
    </xf>
    <xf numFmtId="166" fontId="19" fillId="2" borderId="0" xfId="1" applyNumberFormat="1" applyFont="1" applyFill="1" applyAlignment="1">
      <alignment horizontal="center" vertical="center"/>
    </xf>
    <xf numFmtId="166" fontId="19" fillId="2" borderId="25" xfId="1" applyNumberFormat="1" applyFont="1" applyFill="1" applyBorder="1" applyAlignment="1">
      <alignment horizontal="center" vertical="center"/>
    </xf>
    <xf numFmtId="166" fontId="20" fillId="13" borderId="25" xfId="1" applyNumberFormat="1" applyFont="1" applyFill="1" applyBorder="1" applyAlignment="1">
      <alignment horizontal="center" vertical="center"/>
    </xf>
    <xf numFmtId="166" fontId="19" fillId="2" borderId="43" xfId="1" applyNumberFormat="1" applyFont="1" applyFill="1" applyBorder="1" applyAlignment="1">
      <alignment horizontal="center" vertical="center"/>
    </xf>
    <xf numFmtId="0" fontId="27" fillId="2" borderId="0" xfId="1" applyFont="1" applyFill="1"/>
    <xf numFmtId="0" fontId="34" fillId="2" borderId="0" xfId="1" applyFont="1" applyFill="1"/>
    <xf numFmtId="0" fontId="27" fillId="2" borderId="12" xfId="1" applyFont="1" applyFill="1" applyBorder="1"/>
    <xf numFmtId="1" fontId="1" fillId="0" borderId="0" xfId="1" applyNumberFormat="1" applyAlignment="1">
      <alignment horizontal="left"/>
    </xf>
    <xf numFmtId="165" fontId="24" fillId="2" borderId="0" xfId="2" applyNumberFormat="1" applyFont="1" applyFill="1" applyAlignment="1">
      <alignment horizontal="center" vertical="center"/>
    </xf>
    <xf numFmtId="3" fontId="35" fillId="2" borderId="26" xfId="1" applyNumberFormat="1" applyFont="1" applyFill="1" applyBorder="1"/>
    <xf numFmtId="3" fontId="10" fillId="2" borderId="28" xfId="1" applyNumberFormat="1" applyFont="1" applyFill="1" applyBorder="1" applyAlignment="1">
      <alignment horizontal="center"/>
    </xf>
    <xf numFmtId="0" fontId="10" fillId="2" borderId="28" xfId="1" applyFont="1" applyFill="1" applyBorder="1" applyAlignment="1">
      <alignment horizontal="left"/>
    </xf>
    <xf numFmtId="0" fontId="1" fillId="2" borderId="28" xfId="1" applyFill="1" applyBorder="1"/>
    <xf numFmtId="0" fontId="1" fillId="2" borderId="29" xfId="1" applyFill="1" applyBorder="1"/>
    <xf numFmtId="3" fontId="11" fillId="0" borderId="0" xfId="1" applyNumberFormat="1" applyFont="1" applyAlignment="1">
      <alignment horizontal="right"/>
    </xf>
    <xf numFmtId="166" fontId="19" fillId="2" borderId="18" xfId="1" applyNumberFormat="1" applyFont="1" applyFill="1" applyBorder="1" applyAlignment="1">
      <alignment horizontal="center" vertical="center"/>
    </xf>
    <xf numFmtId="0" fontId="10" fillId="2" borderId="42" xfId="1" applyFont="1" applyFill="1" applyBorder="1" applyAlignment="1">
      <alignment horizontal="center" wrapText="1"/>
    </xf>
    <xf numFmtId="166" fontId="19" fillId="2" borderId="44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justify" vertical="center" wrapText="1"/>
    </xf>
    <xf numFmtId="3" fontId="11" fillId="2" borderId="6" xfId="2" applyNumberFormat="1" applyFont="1" applyFill="1" applyBorder="1" applyAlignment="1">
      <alignment horizontal="right" vertical="center"/>
    </xf>
    <xf numFmtId="3" fontId="11" fillId="2" borderId="8" xfId="2" applyNumberFormat="1" applyFont="1" applyFill="1" applyBorder="1" applyAlignment="1">
      <alignment horizontal="right" vertical="center"/>
    </xf>
    <xf numFmtId="166" fontId="20" fillId="2" borderId="7" xfId="1" applyNumberFormat="1" applyFont="1" applyFill="1" applyBorder="1" applyAlignment="1">
      <alignment horizontal="right" vertical="center"/>
    </xf>
    <xf numFmtId="0" fontId="32" fillId="0" borderId="0" xfId="0" applyFont="1" applyAlignment="1">
      <alignment horizontal="right" vertical="center"/>
    </xf>
    <xf numFmtId="3" fontId="16" fillId="15" borderId="2" xfId="0" applyNumberFormat="1" applyFont="1" applyFill="1" applyBorder="1" applyAlignment="1">
      <alignment horizontal="right" wrapText="1"/>
    </xf>
    <xf numFmtId="1" fontId="1" fillId="6" borderId="2" xfId="1" applyNumberFormat="1" applyFill="1" applyBorder="1" applyAlignment="1">
      <alignment horizontal="right"/>
    </xf>
    <xf numFmtId="0" fontId="1" fillId="6" borderId="2" xfId="1" applyFill="1" applyBorder="1" applyAlignment="1">
      <alignment wrapText="1"/>
    </xf>
    <xf numFmtId="0" fontId="21" fillId="2" borderId="0" xfId="0" applyFont="1" applyFill="1"/>
    <xf numFmtId="0" fontId="28" fillId="0" borderId="0" xfId="0" applyFont="1" applyAlignment="1">
      <alignment horizontal="right"/>
    </xf>
    <xf numFmtId="0" fontId="28" fillId="0" borderId="0" xfId="0" applyFont="1"/>
    <xf numFmtId="0" fontId="28" fillId="0" borderId="0" xfId="1" applyFont="1" applyAlignment="1">
      <alignment horizontal="left" wrapText="1"/>
    </xf>
    <xf numFmtId="3" fontId="21" fillId="0" borderId="0" xfId="0" applyNumberFormat="1" applyFont="1"/>
    <xf numFmtId="166" fontId="19" fillId="2" borderId="46" xfId="1" applyNumberFormat="1" applyFont="1" applyFill="1" applyBorder="1" applyAlignment="1">
      <alignment horizontal="center" vertical="center"/>
    </xf>
    <xf numFmtId="3" fontId="11" fillId="0" borderId="2" xfId="2" applyNumberFormat="1" applyFont="1" applyBorder="1" applyAlignment="1">
      <alignment horizontal="right" vertical="center"/>
    </xf>
    <xf numFmtId="165" fontId="24" fillId="2" borderId="47" xfId="2" applyNumberFormat="1" applyFont="1" applyFill="1" applyBorder="1" applyAlignment="1">
      <alignment horizontal="left" vertical="center"/>
    </xf>
    <xf numFmtId="165" fontId="24" fillId="2" borderId="50" xfId="2" applyNumberFormat="1" applyFont="1" applyFill="1" applyBorder="1" applyAlignment="1">
      <alignment horizontal="left" vertical="center"/>
    </xf>
    <xf numFmtId="3" fontId="35" fillId="2" borderId="0" xfId="1" applyNumberFormat="1" applyFont="1" applyFill="1" applyAlignment="1">
      <alignment horizontal="center"/>
    </xf>
    <xf numFmtId="0" fontId="16" fillId="15" borderId="2" xfId="0" applyFont="1" applyFill="1" applyBorder="1" applyAlignment="1">
      <alignment wrapText="1"/>
    </xf>
    <xf numFmtId="3" fontId="11" fillId="6" borderId="2" xfId="2" applyNumberFormat="1" applyFont="1" applyFill="1" applyBorder="1" applyAlignment="1">
      <alignment horizontal="right" vertical="center"/>
    </xf>
    <xf numFmtId="3" fontId="9" fillId="8" borderId="2" xfId="2" applyNumberFormat="1" applyFont="1" applyFill="1" applyBorder="1" applyAlignment="1">
      <alignment horizontal="right" vertical="center"/>
    </xf>
    <xf numFmtId="3" fontId="9" fillId="6" borderId="2" xfId="2" applyNumberFormat="1" applyFont="1" applyFill="1" applyBorder="1" applyAlignment="1">
      <alignment horizontal="right" vertical="center"/>
    </xf>
    <xf numFmtId="10" fontId="11" fillId="6" borderId="2" xfId="2" applyNumberFormat="1" applyFont="1" applyFill="1" applyBorder="1" applyAlignment="1">
      <alignment horizontal="right" vertical="center"/>
    </xf>
    <xf numFmtId="3" fontId="11" fillId="7" borderId="2" xfId="2" applyNumberFormat="1" applyFont="1" applyFill="1" applyBorder="1" applyAlignment="1">
      <alignment horizontal="right" vertical="center"/>
    </xf>
    <xf numFmtId="3" fontId="9" fillId="7" borderId="2" xfId="2" applyNumberFormat="1" applyFont="1" applyFill="1" applyBorder="1" applyAlignment="1">
      <alignment horizontal="right" vertical="center"/>
    </xf>
    <xf numFmtId="165" fontId="0" fillId="0" borderId="0" xfId="0" applyNumberFormat="1"/>
    <xf numFmtId="0" fontId="0" fillId="0" borderId="0" xfId="0" applyAlignment="1">
      <alignment horizontal="left"/>
    </xf>
    <xf numFmtId="0" fontId="10" fillId="2" borderId="0" xfId="1" applyFont="1" applyFill="1"/>
    <xf numFmtId="1" fontId="37" fillId="2" borderId="0" xfId="1" applyNumberFormat="1" applyFont="1" applyFill="1" applyAlignment="1">
      <alignment horizontal="right"/>
    </xf>
    <xf numFmtId="3" fontId="38" fillId="2" borderId="0" xfId="1" applyNumberFormat="1" applyFont="1" applyFill="1" applyAlignment="1">
      <alignment horizontal="center"/>
    </xf>
    <xf numFmtId="3" fontId="11" fillId="0" borderId="0" xfId="1" applyNumberFormat="1" applyFont="1"/>
    <xf numFmtId="3" fontId="9" fillId="4" borderId="60" xfId="2" applyNumberFormat="1" applyFont="1" applyFill="1" applyBorder="1" applyAlignment="1">
      <alignment vertical="center" wrapText="1"/>
    </xf>
    <xf numFmtId="1" fontId="29" fillId="4" borderId="61" xfId="2" applyNumberFormat="1" applyFont="1" applyFill="1" applyBorder="1" applyAlignment="1">
      <alignment horizontal="right" vertical="center" wrapText="1"/>
    </xf>
    <xf numFmtId="3" fontId="9" fillId="4" borderId="61" xfId="2" applyNumberFormat="1" applyFont="1" applyFill="1" applyBorder="1" applyAlignment="1">
      <alignment vertical="center" wrapText="1"/>
    </xf>
    <xf numFmtId="3" fontId="9" fillId="2" borderId="61" xfId="2" applyNumberFormat="1" applyFont="1" applyFill="1" applyBorder="1" applyAlignment="1">
      <alignment horizontal="right" vertical="center"/>
    </xf>
    <xf numFmtId="3" fontId="9" fillId="4" borderId="61" xfId="2" applyNumberFormat="1" applyFont="1" applyFill="1" applyBorder="1" applyAlignment="1">
      <alignment horizontal="right" vertical="center"/>
    </xf>
    <xf numFmtId="3" fontId="9" fillId="2" borderId="43" xfId="2" applyNumberFormat="1" applyFont="1" applyFill="1" applyBorder="1" applyAlignment="1">
      <alignment horizontal="right" vertical="center"/>
    </xf>
    <xf numFmtId="3" fontId="5" fillId="2" borderId="52" xfId="2" applyNumberFormat="1" applyFont="1" applyFill="1" applyBorder="1" applyAlignment="1">
      <alignment vertical="center"/>
    </xf>
    <xf numFmtId="3" fontId="9" fillId="2" borderId="34" xfId="2" applyNumberFormat="1" applyFont="1" applyFill="1" applyBorder="1" applyAlignment="1">
      <alignment horizontal="right" vertical="center"/>
    </xf>
    <xf numFmtId="3" fontId="11" fillId="2" borderId="62" xfId="2" applyNumberFormat="1" applyFont="1" applyFill="1" applyBorder="1" applyAlignment="1">
      <alignment horizontal="right" vertical="center"/>
    </xf>
    <xf numFmtId="3" fontId="8" fillId="2" borderId="63" xfId="2" applyNumberFormat="1" applyFont="1" applyFill="1" applyBorder="1" applyAlignment="1">
      <alignment vertical="center"/>
    </xf>
    <xf numFmtId="3" fontId="11" fillId="4" borderId="34" xfId="2" applyNumberFormat="1" applyFont="1" applyFill="1" applyBorder="1" applyAlignment="1">
      <alignment horizontal="right" vertical="center"/>
    </xf>
    <xf numFmtId="3" fontId="11" fillId="4" borderId="33" xfId="2" applyNumberFormat="1" applyFont="1" applyFill="1" applyBorder="1" applyAlignment="1">
      <alignment vertical="center" wrapText="1"/>
    </xf>
    <xf numFmtId="1" fontId="28" fillId="4" borderId="34" xfId="2" applyNumberFormat="1" applyFont="1" applyFill="1" applyBorder="1" applyAlignment="1">
      <alignment horizontal="right" vertical="center" wrapText="1"/>
    </xf>
    <xf numFmtId="3" fontId="11" fillId="4" borderId="34" xfId="2" applyNumberFormat="1" applyFont="1" applyFill="1" applyBorder="1" applyAlignment="1">
      <alignment vertical="center" wrapText="1"/>
    </xf>
    <xf numFmtId="0" fontId="39" fillId="2" borderId="0" xfId="1" applyFont="1" applyFill="1"/>
    <xf numFmtId="3" fontId="40" fillId="2" borderId="0" xfId="2" applyNumberFormat="1" applyFont="1" applyFill="1"/>
    <xf numFmtId="3" fontId="41" fillId="2" borderId="0" xfId="2" applyNumberFormat="1" applyFont="1" applyFill="1"/>
    <xf numFmtId="3" fontId="42" fillId="2" borderId="0" xfId="2" applyNumberFormat="1" applyFont="1" applyFill="1"/>
    <xf numFmtId="3" fontId="43" fillId="2" borderId="0" xfId="2" applyNumberFormat="1" applyFont="1" applyFill="1" applyAlignment="1">
      <alignment horizontal="right"/>
    </xf>
    <xf numFmtId="3" fontId="42" fillId="2" borderId="56" xfId="2" applyNumberFormat="1" applyFont="1" applyFill="1" applyBorder="1" applyAlignment="1">
      <alignment horizontal="right" vertical="center" wrapText="1"/>
    </xf>
    <xf numFmtId="3" fontId="42" fillId="2" borderId="33" xfId="2" applyNumberFormat="1" applyFont="1" applyFill="1" applyBorder="1" applyAlignment="1">
      <alignment horizontal="right" vertical="center" wrapText="1"/>
    </xf>
    <xf numFmtId="3" fontId="44" fillId="2" borderId="40" xfId="2" applyNumberFormat="1" applyFont="1" applyFill="1" applyBorder="1" applyAlignment="1">
      <alignment vertical="center" wrapText="1"/>
    </xf>
    <xf numFmtId="0" fontId="45" fillId="2" borderId="0" xfId="1" applyFont="1" applyFill="1" applyAlignment="1">
      <alignment vertical="center"/>
    </xf>
    <xf numFmtId="0" fontId="46" fillId="2" borderId="0" xfId="1" applyFont="1" applyFill="1" applyAlignment="1">
      <alignment vertical="center"/>
    </xf>
    <xf numFmtId="3" fontId="47" fillId="2" borderId="40" xfId="2" applyNumberFormat="1" applyFont="1" applyFill="1" applyBorder="1" applyAlignment="1">
      <alignment vertical="center" wrapText="1"/>
    </xf>
    <xf numFmtId="0" fontId="49" fillId="2" borderId="0" xfId="1" applyFont="1" applyFill="1" applyAlignment="1">
      <alignment vertical="center"/>
    </xf>
    <xf numFmtId="3" fontId="50" fillId="2" borderId="40" xfId="2" applyNumberFormat="1" applyFont="1" applyFill="1" applyBorder="1" applyAlignment="1">
      <alignment vertical="center" wrapText="1"/>
    </xf>
    <xf numFmtId="3" fontId="50" fillId="2" borderId="26" xfId="2" applyNumberFormat="1" applyFont="1" applyFill="1" applyBorder="1" applyAlignment="1">
      <alignment vertical="center" wrapText="1"/>
    </xf>
    <xf numFmtId="3" fontId="44" fillId="2" borderId="57" xfId="2" applyNumberFormat="1" applyFont="1" applyFill="1" applyBorder="1" applyAlignment="1">
      <alignment vertical="center" wrapText="1"/>
    </xf>
    <xf numFmtId="3" fontId="50" fillId="2" borderId="47" xfId="2" applyNumberFormat="1" applyFont="1" applyFill="1" applyBorder="1" applyAlignment="1">
      <alignment vertical="center" wrapText="1"/>
    </xf>
    <xf numFmtId="3" fontId="44" fillId="2" borderId="45" xfId="2" applyNumberFormat="1" applyFont="1" applyFill="1" applyBorder="1" applyAlignment="1">
      <alignment vertical="center" wrapText="1"/>
    </xf>
    <xf numFmtId="0" fontId="46" fillId="2" borderId="0" xfId="1" applyFont="1" applyFill="1"/>
    <xf numFmtId="0" fontId="46" fillId="2" borderId="0" xfId="1" applyFont="1" applyFill="1" applyAlignment="1">
      <alignment wrapText="1"/>
    </xf>
    <xf numFmtId="0" fontId="45" fillId="2" borderId="0" xfId="1" applyFont="1" applyFill="1"/>
    <xf numFmtId="1" fontId="46" fillId="2" borderId="0" xfId="1" applyNumberFormat="1" applyFont="1" applyFill="1" applyAlignment="1">
      <alignment horizontal="right"/>
    </xf>
    <xf numFmtId="3" fontId="46" fillId="2" borderId="0" xfId="1" applyNumberFormat="1" applyFont="1" applyFill="1"/>
    <xf numFmtId="0" fontId="45" fillId="2" borderId="0" xfId="1" applyFont="1" applyFill="1" applyAlignment="1">
      <alignment horizontal="center"/>
    </xf>
    <xf numFmtId="0" fontId="46" fillId="2" borderId="0" xfId="1" applyFont="1" applyFill="1" applyAlignment="1">
      <alignment horizontal="center"/>
    </xf>
    <xf numFmtId="1" fontId="52" fillId="2" borderId="0" xfId="1" applyNumberFormat="1" applyFont="1" applyFill="1" applyAlignment="1">
      <alignment horizontal="left"/>
    </xf>
    <xf numFmtId="3" fontId="42" fillId="2" borderId="53" xfId="2" applyNumberFormat="1" applyFont="1" applyFill="1" applyBorder="1" applyAlignment="1">
      <alignment vertical="center" wrapText="1"/>
    </xf>
    <xf numFmtId="3" fontId="48" fillId="2" borderId="53" xfId="2" applyNumberFormat="1" applyFont="1" applyFill="1" applyBorder="1" applyAlignment="1">
      <alignment vertical="center" wrapText="1"/>
    </xf>
    <xf numFmtId="3" fontId="41" fillId="2" borderId="23" xfId="2" applyNumberFormat="1" applyFont="1" applyFill="1" applyBorder="1" applyAlignment="1">
      <alignment vertical="center" wrapText="1"/>
    </xf>
    <xf numFmtId="3" fontId="42" fillId="2" borderId="54" xfId="2" applyNumberFormat="1" applyFont="1" applyFill="1" applyBorder="1" applyAlignment="1">
      <alignment vertical="center" wrapText="1"/>
    </xf>
    <xf numFmtId="3" fontId="41" fillId="2" borderId="37" xfId="2" applyNumberFormat="1" applyFont="1" applyFill="1" applyBorder="1" applyAlignment="1">
      <alignment vertical="center" wrapText="1"/>
    </xf>
    <xf numFmtId="0" fontId="51" fillId="2" borderId="0" xfId="1" applyFont="1" applyFill="1"/>
    <xf numFmtId="1" fontId="53" fillId="2" borderId="34" xfId="2" applyNumberFormat="1" applyFont="1" applyFill="1" applyBorder="1" applyAlignment="1">
      <alignment horizontal="right" vertical="center" wrapText="1"/>
    </xf>
    <xf numFmtId="3" fontId="40" fillId="2" borderId="34" xfId="2" applyNumberFormat="1" applyFont="1" applyFill="1" applyBorder="1" applyAlignment="1">
      <alignment horizontal="center" vertical="center" wrapText="1"/>
    </xf>
    <xf numFmtId="1" fontId="40" fillId="2" borderId="34" xfId="2" applyNumberFormat="1" applyFont="1" applyFill="1" applyBorder="1" applyAlignment="1">
      <alignment horizontal="center" vertical="center" wrapText="1"/>
    </xf>
    <xf numFmtId="1" fontId="53" fillId="2" borderId="2" xfId="2" applyNumberFormat="1" applyFont="1" applyFill="1" applyBorder="1" applyAlignment="1">
      <alignment horizontal="right" vertical="center" wrapText="1"/>
    </xf>
    <xf numFmtId="3" fontId="53" fillId="2" borderId="2" xfId="2" applyNumberFormat="1" applyFont="1" applyFill="1" applyBorder="1" applyAlignment="1">
      <alignment vertical="center" wrapText="1"/>
    </xf>
    <xf numFmtId="3" fontId="53" fillId="2" borderId="2" xfId="2" applyNumberFormat="1" applyFont="1" applyFill="1" applyBorder="1" applyAlignment="1">
      <alignment horizontal="right" vertical="center"/>
    </xf>
    <xf numFmtId="1" fontId="54" fillId="2" borderId="2" xfId="2" applyNumberFormat="1" applyFont="1" applyFill="1" applyBorder="1" applyAlignment="1">
      <alignment horizontal="right" vertical="center" wrapText="1"/>
    </xf>
    <xf numFmtId="3" fontId="54" fillId="2" borderId="2" xfId="2" applyNumberFormat="1" applyFont="1" applyFill="1" applyBorder="1" applyAlignment="1">
      <alignment vertical="center" wrapText="1"/>
    </xf>
    <xf numFmtId="3" fontId="54" fillId="2" borderId="2" xfId="2" applyNumberFormat="1" applyFont="1" applyFill="1" applyBorder="1" applyAlignment="1">
      <alignment horizontal="right" vertical="center"/>
    </xf>
    <xf numFmtId="1" fontId="53" fillId="2" borderId="24" xfId="2" applyNumberFormat="1" applyFont="1" applyFill="1" applyBorder="1" applyAlignment="1">
      <alignment horizontal="right" vertical="center" wrapText="1"/>
    </xf>
    <xf numFmtId="3" fontId="53" fillId="2" borderId="24" xfId="2" applyNumberFormat="1" applyFont="1" applyFill="1" applyBorder="1" applyAlignment="1">
      <alignment vertical="center" wrapText="1"/>
    </xf>
    <xf numFmtId="3" fontId="53" fillId="2" borderId="24" xfId="2" applyNumberFormat="1" applyFont="1" applyFill="1" applyBorder="1" applyAlignment="1">
      <alignment horizontal="right" vertical="center"/>
    </xf>
    <xf numFmtId="1" fontId="53" fillId="2" borderId="3" xfId="2" applyNumberFormat="1" applyFont="1" applyFill="1" applyBorder="1" applyAlignment="1">
      <alignment horizontal="right" vertical="center" wrapText="1"/>
    </xf>
    <xf numFmtId="3" fontId="53" fillId="2" borderId="3" xfId="2" applyNumberFormat="1" applyFont="1" applyFill="1" applyBorder="1" applyAlignment="1">
      <alignment vertical="center" wrapText="1"/>
    </xf>
    <xf numFmtId="3" fontId="53" fillId="2" borderId="3" xfId="2" applyNumberFormat="1" applyFont="1" applyFill="1" applyBorder="1" applyAlignment="1">
      <alignment horizontal="right" vertical="center"/>
    </xf>
    <xf numFmtId="1" fontId="53" fillId="2" borderId="35" xfId="2" applyNumberFormat="1" applyFont="1" applyFill="1" applyBorder="1" applyAlignment="1">
      <alignment horizontal="right" vertical="center" wrapText="1"/>
    </xf>
    <xf numFmtId="3" fontId="53" fillId="2" borderId="35" xfId="2" applyNumberFormat="1" applyFont="1" applyFill="1" applyBorder="1" applyAlignment="1">
      <alignment vertical="center" wrapText="1"/>
    </xf>
    <xf numFmtId="3" fontId="53" fillId="2" borderId="35" xfId="2" applyNumberFormat="1" applyFont="1" applyFill="1" applyBorder="1" applyAlignment="1">
      <alignment horizontal="right" vertical="center"/>
    </xf>
    <xf numFmtId="3" fontId="41" fillId="12" borderId="53" xfId="2" applyNumberFormat="1" applyFont="1" applyFill="1" applyBorder="1" applyAlignment="1">
      <alignment vertical="center" wrapText="1"/>
    </xf>
    <xf numFmtId="1" fontId="40" fillId="12" borderId="2" xfId="2" applyNumberFormat="1" applyFont="1" applyFill="1" applyBorder="1" applyAlignment="1">
      <alignment horizontal="right" vertical="center" wrapText="1"/>
    </xf>
    <xf numFmtId="3" fontId="40" fillId="12" borderId="2" xfId="2" applyNumberFormat="1" applyFont="1" applyFill="1" applyBorder="1" applyAlignment="1">
      <alignment vertical="center" wrapText="1"/>
    </xf>
    <xf numFmtId="3" fontId="40" fillId="12" borderId="2" xfId="2" applyNumberFormat="1" applyFont="1" applyFill="1" applyBorder="1" applyAlignment="1">
      <alignment horizontal="right" vertical="center"/>
    </xf>
    <xf numFmtId="3" fontId="42" fillId="12" borderId="53" xfId="2" applyNumberFormat="1" applyFont="1" applyFill="1" applyBorder="1" applyAlignment="1">
      <alignment vertical="center" wrapText="1"/>
    </xf>
    <xf numFmtId="1" fontId="53" fillId="12" borderId="2" xfId="2" applyNumberFormat="1" applyFont="1" applyFill="1" applyBorder="1" applyAlignment="1">
      <alignment horizontal="right" vertical="center" wrapText="1"/>
    </xf>
    <xf numFmtId="3" fontId="53" fillId="12" borderId="2" xfId="2" applyNumberFormat="1" applyFont="1" applyFill="1" applyBorder="1" applyAlignment="1">
      <alignment vertical="center" wrapText="1"/>
    </xf>
    <xf numFmtId="3" fontId="53" fillId="12" borderId="2" xfId="2" applyNumberFormat="1" applyFont="1" applyFill="1" applyBorder="1" applyAlignment="1">
      <alignment horizontal="right" vertical="center"/>
    </xf>
    <xf numFmtId="0" fontId="52" fillId="12" borderId="59" xfId="1" applyFont="1" applyFill="1" applyBorder="1"/>
    <xf numFmtId="3" fontId="1" fillId="2" borderId="0" xfId="1" applyNumberFormat="1" applyFill="1" applyAlignment="1">
      <alignment horizontal="center"/>
    </xf>
    <xf numFmtId="0" fontId="10" fillId="2" borderId="0" xfId="1" applyFont="1" applyFill="1" applyAlignment="1">
      <alignment wrapText="1"/>
    </xf>
    <xf numFmtId="0" fontId="37" fillId="2" borderId="0" xfId="1" applyFont="1" applyFill="1"/>
    <xf numFmtId="3" fontId="11" fillId="4" borderId="24" xfId="2" applyNumberFormat="1" applyFont="1" applyFill="1" applyBorder="1" applyAlignment="1">
      <alignment horizontal="right" vertical="center"/>
    </xf>
    <xf numFmtId="3" fontId="11" fillId="4" borderId="28" xfId="2" applyNumberFormat="1" applyFont="1" applyFill="1" applyBorder="1" applyAlignment="1">
      <alignment horizontal="right" vertical="center"/>
    </xf>
    <xf numFmtId="3" fontId="8" fillId="4" borderId="29" xfId="2" applyNumberFormat="1" applyFont="1" applyFill="1" applyBorder="1" applyAlignment="1">
      <alignment vertical="center"/>
    </xf>
    <xf numFmtId="3" fontId="11" fillId="4" borderId="24" xfId="2" applyNumberFormat="1" applyFont="1" applyFill="1" applyBorder="1" applyAlignment="1">
      <alignment vertical="center" wrapText="1"/>
    </xf>
    <xf numFmtId="0" fontId="57" fillId="2" borderId="0" xfId="11" applyFill="1" applyAlignment="1">
      <alignment horizontal="right"/>
    </xf>
    <xf numFmtId="3" fontId="9" fillId="12" borderId="6" xfId="2" applyNumberFormat="1" applyFont="1" applyFill="1" applyBorder="1" applyAlignment="1">
      <alignment horizontal="right" vertical="center"/>
    </xf>
    <xf numFmtId="3" fontId="11" fillId="14" borderId="64" xfId="2" applyNumberFormat="1" applyFont="1" applyFill="1" applyBorder="1" applyAlignment="1">
      <alignment horizontal="right" vertical="center"/>
    </xf>
    <xf numFmtId="166" fontId="19" fillId="2" borderId="65" xfId="1" applyNumberFormat="1" applyFont="1" applyFill="1" applyBorder="1" applyAlignment="1">
      <alignment horizontal="center" vertical="center"/>
    </xf>
    <xf numFmtId="3" fontId="9" fillId="2" borderId="6" xfId="2" applyNumberFormat="1" applyFont="1" applyFill="1" applyBorder="1" applyAlignment="1">
      <alignment horizontal="right" vertical="center"/>
    </xf>
    <xf numFmtId="3" fontId="9" fillId="2" borderId="58" xfId="2" applyNumberFormat="1" applyFont="1" applyFill="1" applyBorder="1" applyAlignment="1">
      <alignment horizontal="right" vertical="center"/>
    </xf>
    <xf numFmtId="3" fontId="5" fillId="2" borderId="0" xfId="2" applyNumberFormat="1" applyFont="1" applyFill="1" applyAlignment="1">
      <alignment vertical="center"/>
    </xf>
    <xf numFmtId="166" fontId="13" fillId="2" borderId="0" xfId="1" applyNumberFormat="1" applyFont="1" applyFill="1" applyAlignment="1">
      <alignment horizontal="right"/>
    </xf>
    <xf numFmtId="0" fontId="10" fillId="2" borderId="0" xfId="1" applyFont="1" applyFill="1" applyAlignment="1">
      <alignment horizontal="right"/>
    </xf>
    <xf numFmtId="3" fontId="8" fillId="2" borderId="0" xfId="2" applyNumberFormat="1" applyFont="1" applyFill="1" applyAlignment="1">
      <alignment vertical="center"/>
    </xf>
    <xf numFmtId="0" fontId="45" fillId="2" borderId="28" xfId="1" applyFont="1" applyFill="1" applyBorder="1" applyAlignment="1">
      <alignment vertical="center"/>
    </xf>
    <xf numFmtId="3" fontId="50" fillId="2" borderId="49" xfId="2" applyNumberFormat="1" applyFont="1" applyFill="1" applyBorder="1" applyAlignment="1">
      <alignment vertical="center" wrapText="1"/>
    </xf>
    <xf numFmtId="0" fontId="3" fillId="2" borderId="0" xfId="1" applyFont="1" applyFill="1" applyAlignment="1">
      <alignment horizontal="right"/>
    </xf>
    <xf numFmtId="3" fontId="40" fillId="17" borderId="0" xfId="2" applyNumberFormat="1" applyFont="1" applyFill="1" applyAlignment="1">
      <alignment horizontal="right" vertical="center"/>
    </xf>
    <xf numFmtId="3" fontId="40" fillId="17" borderId="63" xfId="2" applyNumberFormat="1" applyFont="1" applyFill="1" applyBorder="1" applyAlignment="1">
      <alignment horizontal="right" vertical="center"/>
    </xf>
    <xf numFmtId="1" fontId="40" fillId="2" borderId="63" xfId="2" applyNumberFormat="1" applyFont="1" applyFill="1" applyBorder="1" applyAlignment="1">
      <alignment horizontal="center" vertical="center" wrapText="1"/>
    </xf>
    <xf numFmtId="3" fontId="40" fillId="2" borderId="41" xfId="2" applyNumberFormat="1" applyFont="1" applyFill="1" applyBorder="1" applyAlignment="1">
      <alignment horizontal="right" vertical="center"/>
    </xf>
    <xf numFmtId="3" fontId="55" fillId="2" borderId="41" xfId="2" applyNumberFormat="1" applyFont="1" applyFill="1" applyBorder="1" applyAlignment="1">
      <alignment horizontal="right" vertical="center"/>
    </xf>
    <xf numFmtId="3" fontId="40" fillId="12" borderId="41" xfId="2" applyNumberFormat="1" applyFont="1" applyFill="1" applyBorder="1" applyAlignment="1">
      <alignment horizontal="right" vertical="center"/>
    </xf>
    <xf numFmtId="3" fontId="53" fillId="12" borderId="41" xfId="2" applyNumberFormat="1" applyFont="1" applyFill="1" applyBorder="1" applyAlignment="1">
      <alignment horizontal="right" vertical="center"/>
    </xf>
    <xf numFmtId="3" fontId="53" fillId="2" borderId="29" xfId="2" applyNumberFormat="1" applyFont="1" applyFill="1" applyBorder="1" applyAlignment="1">
      <alignment horizontal="right" vertical="center"/>
    </xf>
    <xf numFmtId="3" fontId="53" fillId="2" borderId="41" xfId="2" applyNumberFormat="1" applyFont="1" applyFill="1" applyBorder="1" applyAlignment="1">
      <alignment horizontal="right" vertical="center"/>
    </xf>
    <xf numFmtId="3" fontId="53" fillId="2" borderId="66" xfId="2" applyNumberFormat="1" applyFont="1" applyFill="1" applyBorder="1" applyAlignment="1">
      <alignment horizontal="right" vertical="center"/>
    </xf>
    <xf numFmtId="3" fontId="53" fillId="2" borderId="51" xfId="2" applyNumberFormat="1" applyFont="1" applyFill="1" applyBorder="1" applyAlignment="1">
      <alignment horizontal="right" vertical="center"/>
    </xf>
    <xf numFmtId="3" fontId="40" fillId="12" borderId="67" xfId="2" applyNumberFormat="1" applyFont="1" applyFill="1" applyBorder="1" applyAlignment="1">
      <alignment horizontal="right" vertical="center"/>
    </xf>
    <xf numFmtId="3" fontId="53" fillId="2" borderId="68" xfId="2" applyNumberFormat="1" applyFont="1" applyFill="1" applyBorder="1" applyAlignment="1">
      <alignment horizontal="right" vertical="center"/>
    </xf>
    <xf numFmtId="3" fontId="40" fillId="17" borderId="11" xfId="2" applyNumberFormat="1" applyFont="1" applyFill="1" applyBorder="1" applyAlignment="1">
      <alignment horizontal="right" vertical="center"/>
    </xf>
    <xf numFmtId="3" fontId="41" fillId="2" borderId="53" xfId="2" applyNumberFormat="1" applyFont="1" applyFill="1" applyBorder="1" applyAlignment="1">
      <alignment vertical="center" wrapText="1"/>
    </xf>
    <xf numFmtId="1" fontId="40" fillId="12" borderId="2" xfId="2" applyNumberFormat="1" applyFont="1" applyFill="1" applyBorder="1" applyAlignment="1">
      <alignment horizontal="center" vertical="center" wrapText="1"/>
    </xf>
    <xf numFmtId="1" fontId="52" fillId="12" borderId="2" xfId="1" applyNumberFormat="1" applyFont="1" applyFill="1" applyBorder="1" applyAlignment="1">
      <alignment horizontal="center"/>
    </xf>
    <xf numFmtId="49" fontId="40" fillId="12" borderId="2" xfId="2" applyNumberFormat="1" applyFont="1" applyFill="1" applyBorder="1" applyAlignment="1">
      <alignment horizontal="left" vertical="center"/>
    </xf>
    <xf numFmtId="0" fontId="52" fillId="12" borderId="2" xfId="1" applyFont="1" applyFill="1" applyBorder="1"/>
    <xf numFmtId="3" fontId="41" fillId="12" borderId="36" xfId="2" applyNumberFormat="1" applyFont="1" applyFill="1" applyBorder="1" applyAlignment="1">
      <alignment vertical="center" wrapText="1"/>
    </xf>
    <xf numFmtId="1" fontId="40" fillId="12" borderId="4" xfId="2" applyNumberFormat="1" applyFont="1" applyFill="1" applyBorder="1" applyAlignment="1">
      <alignment horizontal="center" vertical="center" wrapText="1"/>
    </xf>
    <xf numFmtId="3" fontId="40" fillId="12" borderId="4" xfId="2" applyNumberFormat="1" applyFont="1" applyFill="1" applyBorder="1" applyAlignment="1">
      <alignment vertical="center" wrapText="1"/>
    </xf>
    <xf numFmtId="3" fontId="40" fillId="12" borderId="59" xfId="2" applyNumberFormat="1" applyFont="1" applyFill="1" applyBorder="1" applyAlignment="1">
      <alignment horizontal="right" vertical="center"/>
    </xf>
    <xf numFmtId="2" fontId="52" fillId="12" borderId="59" xfId="1" applyNumberFormat="1" applyFont="1" applyFill="1" applyBorder="1"/>
    <xf numFmtId="2" fontId="52" fillId="12" borderId="11" xfId="1" applyNumberFormat="1" applyFont="1" applyFill="1" applyBorder="1" applyAlignment="1">
      <alignment horizontal="right"/>
    </xf>
    <xf numFmtId="3" fontId="9" fillId="18" borderId="23" xfId="2" applyNumberFormat="1" applyFont="1" applyFill="1" applyBorder="1" applyAlignment="1">
      <alignment vertical="center" wrapText="1"/>
    </xf>
    <xf numFmtId="1" fontId="29" fillId="18" borderId="24" xfId="2" applyNumberFormat="1" applyFont="1" applyFill="1" applyBorder="1" applyAlignment="1">
      <alignment horizontal="right" vertical="center" wrapText="1"/>
    </xf>
    <xf numFmtId="3" fontId="9" fillId="18" borderId="24" xfId="2" applyNumberFormat="1" applyFont="1" applyFill="1" applyBorder="1" applyAlignment="1">
      <alignment vertical="center" wrapText="1"/>
    </xf>
    <xf numFmtId="3" fontId="9" fillId="18" borderId="24" xfId="2" applyNumberFormat="1" applyFont="1" applyFill="1" applyBorder="1" applyAlignment="1">
      <alignment horizontal="right" vertical="center"/>
    </xf>
    <xf numFmtId="49" fontId="19" fillId="15" borderId="17" xfId="2" applyNumberFormat="1" applyFont="1" applyFill="1" applyBorder="1" applyAlignment="1">
      <alignment horizontal="center" vertical="center" wrapText="1"/>
    </xf>
    <xf numFmtId="3" fontId="59" fillId="7" borderId="2" xfId="2" applyNumberFormat="1" applyFont="1" applyFill="1" applyBorder="1" applyAlignment="1">
      <alignment horizontal="right" vertical="center"/>
    </xf>
    <xf numFmtId="3" fontId="22" fillId="10" borderId="2" xfId="2" applyNumberFormat="1" applyFont="1" applyFill="1" applyBorder="1" applyAlignment="1">
      <alignment horizontal="right" vertical="center"/>
    </xf>
    <xf numFmtId="3" fontId="11" fillId="6" borderId="55" xfId="2" applyNumberFormat="1" applyFont="1" applyFill="1" applyBorder="1" applyAlignment="1">
      <alignment horizontal="right" vertical="center"/>
    </xf>
    <xf numFmtId="3" fontId="21" fillId="2" borderId="0" xfId="0" applyNumberFormat="1" applyFont="1" applyFill="1"/>
    <xf numFmtId="3" fontId="16" fillId="2" borderId="0" xfId="0" applyNumberFormat="1" applyFont="1" applyFill="1"/>
    <xf numFmtId="167" fontId="5" fillId="2" borderId="15" xfId="2" applyNumberFormat="1" applyFont="1" applyFill="1" applyBorder="1"/>
    <xf numFmtId="3" fontId="11" fillId="20" borderId="2" xfId="2" applyNumberFormat="1" applyFont="1" applyFill="1" applyBorder="1" applyAlignment="1">
      <alignment horizontal="right" vertical="center"/>
    </xf>
    <xf numFmtId="0" fontId="36" fillId="0" borderId="0" xfId="0" applyFont="1"/>
    <xf numFmtId="0" fontId="36" fillId="0" borderId="2" xfId="0" applyFont="1" applyBorder="1"/>
    <xf numFmtId="0" fontId="0" fillId="0" borderId="2" xfId="0" applyBorder="1"/>
    <xf numFmtId="3" fontId="0" fillId="0" borderId="2" xfId="0" applyNumberFormat="1" applyBorder="1"/>
    <xf numFmtId="9" fontId="0" fillId="0" borderId="2" xfId="0" applyNumberFormat="1" applyBorder="1"/>
    <xf numFmtId="3" fontId="36" fillId="0" borderId="2" xfId="0" applyNumberFormat="1" applyFont="1" applyBorder="1"/>
    <xf numFmtId="3" fontId="11" fillId="15" borderId="2" xfId="2" applyNumberFormat="1" applyFont="1" applyFill="1" applyBorder="1" applyAlignment="1">
      <alignment horizontal="right" vertical="center"/>
    </xf>
    <xf numFmtId="1" fontId="62" fillId="2" borderId="2" xfId="2" applyNumberFormat="1" applyFont="1" applyFill="1" applyBorder="1" applyAlignment="1">
      <alignment horizontal="right" vertical="center" wrapText="1"/>
    </xf>
    <xf numFmtId="1" fontId="0" fillId="0" borderId="0" xfId="0" applyNumberFormat="1"/>
    <xf numFmtId="1" fontId="36" fillId="0" borderId="0" xfId="0" applyNumberFormat="1" applyFont="1"/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left" wrapText="1"/>
    </xf>
    <xf numFmtId="1" fontId="0" fillId="0" borderId="0" xfId="0" applyNumberFormat="1" applyAlignment="1">
      <alignment wrapText="1"/>
    </xf>
    <xf numFmtId="1" fontId="36" fillId="13" borderId="20" xfId="0" applyNumberFormat="1" applyFont="1" applyFill="1" applyBorder="1"/>
    <xf numFmtId="1" fontId="3" fillId="2" borderId="0" xfId="1" applyNumberFormat="1" applyFont="1" applyFill="1" applyAlignment="1">
      <alignment horizontal="left"/>
    </xf>
    <xf numFmtId="3" fontId="30" fillId="21" borderId="2" xfId="2" applyNumberFormat="1" applyFont="1" applyFill="1" applyBorder="1" applyAlignment="1">
      <alignment horizontal="right" vertical="center" wrapText="1"/>
    </xf>
    <xf numFmtId="1" fontId="11" fillId="22" borderId="24" xfId="2" applyNumberFormat="1" applyFont="1" applyFill="1" applyBorder="1" applyAlignment="1">
      <alignment horizontal="center" vertical="center" wrapText="1"/>
    </xf>
    <xf numFmtId="0" fontId="30" fillId="4" borderId="70" xfId="0" applyFont="1" applyFill="1" applyBorder="1" applyAlignment="1">
      <alignment horizontal="left"/>
    </xf>
    <xf numFmtId="0" fontId="30" fillId="4" borderId="11" xfId="0" applyFont="1" applyFill="1" applyBorder="1" applyAlignment="1">
      <alignment horizontal="left"/>
    </xf>
    <xf numFmtId="0" fontId="65" fillId="0" borderId="0" xfId="0" applyFont="1"/>
    <xf numFmtId="3" fontId="16" fillId="15" borderId="6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24" fillId="0" borderId="2" xfId="0" applyFont="1" applyBorder="1" applyAlignment="1">
      <alignment wrapText="1"/>
    </xf>
    <xf numFmtId="1" fontId="24" fillId="0" borderId="2" xfId="0" applyNumberFormat="1" applyFont="1" applyBorder="1" applyAlignment="1">
      <alignment wrapText="1"/>
    </xf>
    <xf numFmtId="3" fontId="0" fillId="0" borderId="0" xfId="0" applyNumberFormat="1"/>
    <xf numFmtId="3" fontId="30" fillId="0" borderId="2" xfId="0" applyNumberFormat="1" applyFont="1" applyBorder="1" applyAlignment="1">
      <alignment horizontal="right"/>
    </xf>
    <xf numFmtId="1" fontId="5" fillId="7" borderId="6" xfId="2" applyNumberFormat="1" applyFont="1" applyFill="1" applyBorder="1" applyAlignment="1">
      <alignment horizontal="center" vertical="center" wrapText="1"/>
    </xf>
    <xf numFmtId="3" fontId="9" fillId="7" borderId="6" xfId="2" applyNumberFormat="1" applyFont="1" applyFill="1" applyBorder="1" applyAlignment="1">
      <alignment horizontal="right" vertical="center"/>
    </xf>
    <xf numFmtId="3" fontId="11" fillId="7" borderId="6" xfId="2" applyNumberFormat="1" applyFont="1" applyFill="1" applyBorder="1" applyAlignment="1">
      <alignment horizontal="right" vertical="center"/>
    </xf>
    <xf numFmtId="0" fontId="30" fillId="23" borderId="70" xfId="0" applyFont="1" applyFill="1" applyBorder="1" applyAlignment="1">
      <alignment horizontal="left"/>
    </xf>
    <xf numFmtId="0" fontId="30" fillId="23" borderId="11" xfId="0" applyFont="1" applyFill="1" applyBorder="1" applyAlignment="1">
      <alignment horizontal="left"/>
    </xf>
    <xf numFmtId="0" fontId="0" fillId="2" borderId="0" xfId="0" applyFill="1"/>
    <xf numFmtId="3" fontId="0" fillId="3" borderId="0" xfId="0" applyNumberFormat="1" applyFill="1"/>
    <xf numFmtId="0" fontId="65" fillId="2" borderId="0" xfId="0" applyFont="1" applyFill="1"/>
    <xf numFmtId="3" fontId="11" fillId="2" borderId="2" xfId="0" applyNumberFormat="1" applyFont="1" applyFill="1" applyBorder="1" applyAlignment="1">
      <alignment horizontal="right" vertical="center"/>
    </xf>
    <xf numFmtId="165" fontId="11" fillId="2" borderId="48" xfId="2" applyNumberFormat="1" applyFont="1" applyFill="1" applyBorder="1" applyAlignment="1">
      <alignment horizontal="center" vertical="center"/>
    </xf>
    <xf numFmtId="165" fontId="8" fillId="2" borderId="48" xfId="2" applyNumberFormat="1" applyFont="1" applyFill="1" applyBorder="1" applyAlignment="1">
      <alignment horizontal="center" vertical="center"/>
    </xf>
    <xf numFmtId="165" fontId="48" fillId="2" borderId="51" xfId="2" applyNumberFormat="1" applyFont="1" applyFill="1" applyBorder="1" applyAlignment="1">
      <alignment horizontal="right" vertical="center"/>
    </xf>
    <xf numFmtId="165" fontId="9" fillId="2" borderId="7" xfId="2" applyNumberFormat="1" applyFont="1" applyFill="1" applyBorder="1" applyAlignment="1">
      <alignment horizontal="center" vertical="center"/>
    </xf>
    <xf numFmtId="165" fontId="5" fillId="2" borderId="7" xfId="2" applyNumberFormat="1" applyFont="1" applyFill="1" applyBorder="1" applyAlignment="1">
      <alignment horizontal="center" vertical="center"/>
    </xf>
    <xf numFmtId="3" fontId="66" fillId="3" borderId="52" xfId="2" applyNumberFormat="1" applyFont="1" applyFill="1" applyBorder="1" applyAlignment="1">
      <alignment horizontal="right" vertical="center"/>
    </xf>
    <xf numFmtId="3" fontId="9" fillId="2" borderId="28" xfId="1" applyNumberFormat="1" applyFont="1" applyFill="1" applyBorder="1" applyAlignment="1">
      <alignment horizontal="center"/>
    </xf>
    <xf numFmtId="9" fontId="9" fillId="2" borderId="28" xfId="1" applyNumberFormat="1" applyFont="1" applyFill="1" applyBorder="1" applyAlignment="1">
      <alignment horizontal="left"/>
    </xf>
    <xf numFmtId="0" fontId="11" fillId="2" borderId="28" xfId="1" applyFont="1" applyFill="1" applyBorder="1"/>
    <xf numFmtId="0" fontId="11" fillId="2" borderId="29" xfId="1" applyFont="1" applyFill="1" applyBorder="1"/>
    <xf numFmtId="3" fontId="11" fillId="2" borderId="0" xfId="1" applyNumberFormat="1" applyFont="1" applyFill="1"/>
    <xf numFmtId="9" fontId="10" fillId="2" borderId="28" xfId="1" applyNumberFormat="1" applyFont="1" applyFill="1" applyBorder="1" applyAlignment="1">
      <alignment horizontal="left"/>
    </xf>
    <xf numFmtId="1" fontId="68" fillId="2" borderId="5" xfId="2" applyNumberFormat="1" applyFont="1" applyFill="1" applyBorder="1" applyAlignment="1">
      <alignment horizontal="center" vertical="center" wrapText="1"/>
    </xf>
    <xf numFmtId="0" fontId="24" fillId="2" borderId="0" xfId="1" applyFont="1" applyFill="1" applyAlignment="1">
      <alignment horizontal="right"/>
    </xf>
    <xf numFmtId="166" fontId="24" fillId="2" borderId="0" xfId="1" applyNumberFormat="1" applyFont="1" applyFill="1" applyAlignment="1">
      <alignment horizontal="right"/>
    </xf>
    <xf numFmtId="0" fontId="69" fillId="24" borderId="0" xfId="0" applyFont="1" applyFill="1"/>
    <xf numFmtId="3" fontId="70" fillId="0" borderId="0" xfId="0" applyNumberFormat="1" applyFont="1"/>
    <xf numFmtId="0" fontId="16" fillId="3" borderId="2" xfId="0" applyFont="1" applyFill="1" applyBorder="1" applyAlignment="1">
      <alignment wrapText="1"/>
    </xf>
    <xf numFmtId="3" fontId="71" fillId="3" borderId="0" xfId="0" applyNumberFormat="1" applyFont="1" applyFill="1"/>
    <xf numFmtId="0" fontId="21" fillId="3" borderId="0" xfId="0" applyFont="1" applyFill="1"/>
    <xf numFmtId="0" fontId="16" fillId="4" borderId="3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3" fontId="30" fillId="4" borderId="53" xfId="0" applyNumberFormat="1" applyFont="1" applyFill="1" applyBorder="1" applyAlignment="1">
      <alignment vertical="center"/>
    </xf>
    <xf numFmtId="3" fontId="30" fillId="4" borderId="71" xfId="0" applyNumberFormat="1" applyFont="1" applyFill="1" applyBorder="1" applyAlignment="1">
      <alignment vertical="center"/>
    </xf>
    <xf numFmtId="3" fontId="16" fillId="4" borderId="53" xfId="0" applyNumberFormat="1" applyFont="1" applyFill="1" applyBorder="1" applyAlignment="1">
      <alignment vertical="center"/>
    </xf>
    <xf numFmtId="3" fontId="16" fillId="4" borderId="71" xfId="0" applyNumberFormat="1" applyFont="1" applyFill="1" applyBorder="1" applyAlignment="1">
      <alignment vertical="center"/>
    </xf>
    <xf numFmtId="3" fontId="64" fillId="4" borderId="53" xfId="0" applyNumberFormat="1" applyFont="1" applyFill="1" applyBorder="1" applyAlignment="1">
      <alignment vertical="center"/>
    </xf>
    <xf numFmtId="3" fontId="64" fillId="4" borderId="71" xfId="0" applyNumberFormat="1" applyFont="1" applyFill="1" applyBorder="1" applyAlignment="1">
      <alignment vertical="center"/>
    </xf>
    <xf numFmtId="3" fontId="64" fillId="4" borderId="36" xfId="0" applyNumberFormat="1" applyFont="1" applyFill="1" applyBorder="1" applyAlignment="1">
      <alignment vertical="center"/>
    </xf>
    <xf numFmtId="3" fontId="64" fillId="4" borderId="72" xfId="0" applyNumberFormat="1" applyFont="1" applyFill="1" applyBorder="1" applyAlignment="1">
      <alignment vertical="center"/>
    </xf>
    <xf numFmtId="3" fontId="70" fillId="2" borderId="0" xfId="0" applyNumberFormat="1" applyFont="1" applyFill="1"/>
    <xf numFmtId="3" fontId="65" fillId="15" borderId="0" xfId="0" applyNumberFormat="1" applyFont="1" applyFill="1"/>
    <xf numFmtId="3" fontId="57" fillId="0" borderId="0" xfId="11" applyNumberFormat="1"/>
    <xf numFmtId="0" fontId="73" fillId="0" borderId="0" xfId="0" applyFont="1" applyAlignment="1">
      <alignment vertical="center"/>
    </xf>
    <xf numFmtId="0" fontId="16" fillId="23" borderId="56" xfId="0" applyFont="1" applyFill="1" applyBorder="1" applyAlignment="1">
      <alignment horizontal="center" vertical="center" wrapText="1"/>
    </xf>
    <xf numFmtId="0" fontId="30" fillId="0" borderId="0" xfId="0" applyFont="1" applyAlignment="1">
      <alignment wrapText="1"/>
    </xf>
    <xf numFmtId="3" fontId="64" fillId="23" borderId="40" xfId="0" applyNumberFormat="1" applyFont="1" applyFill="1" applyBorder="1" applyAlignment="1">
      <alignment vertical="center"/>
    </xf>
    <xf numFmtId="3" fontId="64" fillId="23" borderId="70" xfId="0" applyNumberFormat="1" applyFont="1" applyFill="1" applyBorder="1" applyAlignment="1">
      <alignment vertical="center"/>
    </xf>
    <xf numFmtId="3" fontId="30" fillId="0" borderId="0" xfId="0" applyNumberFormat="1" applyFont="1"/>
    <xf numFmtId="3" fontId="74" fillId="23" borderId="40" xfId="0" applyNumberFormat="1" applyFont="1" applyFill="1" applyBorder="1" applyAlignment="1">
      <alignment vertical="center"/>
    </xf>
    <xf numFmtId="0" fontId="16" fillId="17" borderId="63" xfId="0" applyFont="1" applyFill="1" applyBorder="1" applyAlignment="1">
      <alignment horizontal="center" vertical="center" wrapText="1"/>
    </xf>
    <xf numFmtId="3" fontId="30" fillId="17" borderId="41" xfId="0" applyNumberFormat="1" applyFont="1" applyFill="1" applyBorder="1" applyAlignment="1">
      <alignment vertical="center"/>
    </xf>
    <xf numFmtId="3" fontId="16" fillId="17" borderId="41" xfId="0" applyNumberFormat="1" applyFont="1" applyFill="1" applyBorder="1" applyAlignment="1">
      <alignment vertical="center"/>
    </xf>
    <xf numFmtId="3" fontId="64" fillId="17" borderId="41" xfId="0" applyNumberFormat="1" applyFont="1" applyFill="1" applyBorder="1" applyAlignment="1">
      <alignment vertical="center"/>
    </xf>
    <xf numFmtId="3" fontId="64" fillId="17" borderId="11" xfId="0" applyNumberFormat="1" applyFont="1" applyFill="1" applyBorder="1" applyAlignment="1">
      <alignment vertical="center"/>
    </xf>
    <xf numFmtId="0" fontId="71" fillId="0" borderId="0" xfId="0" applyFont="1"/>
    <xf numFmtId="3" fontId="0" fillId="25" borderId="0" xfId="0" applyNumberFormat="1" applyFill="1"/>
    <xf numFmtId="3" fontId="40" fillId="15" borderId="2" xfId="2" applyNumberFormat="1" applyFont="1" applyFill="1" applyBorder="1" applyAlignment="1">
      <alignment vertical="center" wrapText="1"/>
    </xf>
    <xf numFmtId="3" fontId="40" fillId="15" borderId="2" xfId="2" applyNumberFormat="1" applyFont="1" applyFill="1" applyBorder="1" applyAlignment="1">
      <alignment horizontal="right" vertical="center"/>
    </xf>
    <xf numFmtId="3" fontId="40" fillId="15" borderId="59" xfId="2" applyNumberFormat="1" applyFont="1" applyFill="1" applyBorder="1" applyAlignment="1">
      <alignment horizontal="right" vertical="center"/>
    </xf>
    <xf numFmtId="2" fontId="52" fillId="15" borderId="59" xfId="1" applyNumberFormat="1" applyFont="1" applyFill="1" applyBorder="1"/>
    <xf numFmtId="2" fontId="52" fillId="15" borderId="11" xfId="1" applyNumberFormat="1" applyFont="1" applyFill="1" applyBorder="1" applyAlignment="1">
      <alignment horizontal="right"/>
    </xf>
    <xf numFmtId="3" fontId="5" fillId="15" borderId="11" xfId="2" applyNumberFormat="1" applyFont="1" applyFill="1" applyBorder="1" applyAlignment="1">
      <alignment vertical="center"/>
    </xf>
    <xf numFmtId="3" fontId="5" fillId="15" borderId="4" xfId="2" applyNumberFormat="1" applyFont="1" applyFill="1" applyBorder="1" applyAlignment="1">
      <alignment vertical="center" wrapText="1"/>
    </xf>
    <xf numFmtId="3" fontId="9" fillId="15" borderId="24" xfId="2" applyNumberFormat="1" applyFont="1" applyFill="1" applyBorder="1" applyAlignment="1">
      <alignment horizontal="right" vertical="center"/>
    </xf>
    <xf numFmtId="0" fontId="21" fillId="15" borderId="0" xfId="0" applyFont="1" applyFill="1"/>
    <xf numFmtId="3" fontId="9" fillId="3" borderId="2" xfId="2" applyNumberFormat="1" applyFont="1" applyFill="1" applyBorder="1" applyAlignment="1">
      <alignment horizontal="right" vertical="center"/>
    </xf>
    <xf numFmtId="3" fontId="21" fillId="15" borderId="0" xfId="0" applyNumberFormat="1" applyFont="1" applyFill="1"/>
    <xf numFmtId="0" fontId="75" fillId="0" borderId="0" xfId="0" applyFont="1"/>
    <xf numFmtId="3" fontId="32" fillId="3" borderId="21" xfId="0" applyNumberFormat="1" applyFont="1" applyFill="1" applyBorder="1"/>
    <xf numFmtId="3" fontId="32" fillId="0" borderId="73" xfId="0" applyNumberFormat="1" applyFont="1" applyBorder="1"/>
    <xf numFmtId="3" fontId="31" fillId="2" borderId="22" xfId="0" applyNumberFormat="1" applyFont="1" applyFill="1" applyBorder="1"/>
    <xf numFmtId="0" fontId="24" fillId="2" borderId="0" xfId="1" applyFont="1" applyFill="1"/>
    <xf numFmtId="0" fontId="10" fillId="13" borderId="0" xfId="1" applyFont="1" applyFill="1" applyAlignment="1">
      <alignment vertical="center"/>
    </xf>
    <xf numFmtId="3" fontId="10" fillId="15" borderId="0" xfId="1" applyNumberFormat="1" applyFont="1" applyFill="1" applyAlignment="1">
      <alignment vertical="center"/>
    </xf>
    <xf numFmtId="0" fontId="10" fillId="14" borderId="0" xfId="1" applyFont="1" applyFill="1" applyAlignment="1">
      <alignment vertical="center"/>
    </xf>
    <xf numFmtId="3" fontId="32" fillId="3" borderId="20" xfId="0" applyNumberFormat="1" applyFont="1" applyFill="1" applyBorder="1"/>
    <xf numFmtId="3" fontId="72" fillId="3" borderId="0" xfId="0" applyNumberFormat="1" applyFont="1" applyFill="1"/>
    <xf numFmtId="3" fontId="3" fillId="2" borderId="0" xfId="1" applyNumberFormat="1" applyFont="1" applyFill="1"/>
    <xf numFmtId="3" fontId="24" fillId="25" borderId="0" xfId="1" applyNumberFormat="1" applyFont="1" applyFill="1"/>
    <xf numFmtId="3" fontId="5" fillId="15" borderId="29" xfId="2" applyNumberFormat="1" applyFont="1" applyFill="1" applyBorder="1" applyAlignment="1">
      <alignment vertical="center"/>
    </xf>
    <xf numFmtId="3" fontId="11" fillId="15" borderId="3" xfId="2" applyNumberFormat="1" applyFont="1" applyFill="1" applyBorder="1" applyAlignment="1">
      <alignment horizontal="right" vertical="center"/>
    </xf>
    <xf numFmtId="3" fontId="72" fillId="15" borderId="20" xfId="0" applyNumberFormat="1" applyFont="1" applyFill="1" applyBorder="1"/>
    <xf numFmtId="4" fontId="76" fillId="2" borderId="15" xfId="2" applyNumberFormat="1" applyFont="1" applyFill="1" applyBorder="1"/>
    <xf numFmtId="3" fontId="77" fillId="0" borderId="0" xfId="0" applyNumberFormat="1" applyFont="1"/>
  </cellXfs>
  <cellStyles count="20">
    <cellStyle name="čárky 2" xfId="3" xr:uid="{00000000-0005-0000-0000-000000000000}"/>
    <cellStyle name="čárky 2 2" xfId="8" xr:uid="{00000000-0005-0000-0000-000001000000}"/>
    <cellStyle name="čárky 2 3" xfId="9" xr:uid="{00000000-0005-0000-0000-000002000000}"/>
    <cellStyle name="čárky 2 4" xfId="10" xr:uid="{00000000-0005-0000-0000-000003000000}"/>
    <cellStyle name="čárky 2 5" xfId="14" xr:uid="{03050E10-D99A-44F8-942B-10662CE5161B}"/>
    <cellStyle name="Hypertextový odkaz" xfId="11" builtinId="8"/>
    <cellStyle name="Normální" xfId="0" builtinId="0"/>
    <cellStyle name="normální 2" xfId="1" xr:uid="{00000000-0005-0000-0000-000006000000}"/>
    <cellStyle name="normální 2 2" xfId="2" xr:uid="{00000000-0005-0000-0000-000007000000}"/>
    <cellStyle name="normální 2 2 2" xfId="15" xr:uid="{209D6503-5898-4366-86DC-C7834258FB89}"/>
    <cellStyle name="normální 3" xfId="4" xr:uid="{00000000-0005-0000-0000-000008000000}"/>
    <cellStyle name="normální 4" xfId="5" xr:uid="{00000000-0005-0000-0000-000009000000}"/>
    <cellStyle name="normální 4 2" xfId="6" xr:uid="{00000000-0005-0000-0000-00000A000000}"/>
    <cellStyle name="normální 4 3" xfId="7" xr:uid="{00000000-0005-0000-0000-00000B000000}"/>
    <cellStyle name="Normální 5" xfId="12" xr:uid="{00000000-0005-0000-0000-00000C000000}"/>
    <cellStyle name="Normální 6" xfId="13" xr:uid="{00000000-0005-0000-0000-00000D000000}"/>
    <cellStyle name="Normální 7" xfId="19" xr:uid="{62AC54CE-888D-4324-9F74-253DD052655E}"/>
    <cellStyle name="SAPBEXstdData" xfId="18" xr:uid="{2CF67530-6472-424A-AEB8-2457B1477C99}"/>
    <cellStyle name="SAPBEXstdDataEmph" xfId="17" xr:uid="{73B35634-9C74-4E64-A0F8-6C95884DD2B8}"/>
    <cellStyle name="SAPBEXstdItem" xfId="16" xr:uid="{D8CE1692-A82C-4BAF-BBC8-561E9CBFABE1}"/>
  </cellStyles>
  <dxfs count="44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theme="0" tint="-4.9989318521683403E-2"/>
        </patternFill>
      </fill>
    </dxf>
    <dxf>
      <font>
        <b/>
        <i val="0"/>
        <color theme="1"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CC66FF"/>
      <color rgb="FFFF9900"/>
      <color rgb="FFCC99FF"/>
      <color rgb="FFB1B2C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Provozní saldo + opravy a </a:t>
            </a:r>
            <a:r>
              <a:rPr lang="cs-CZ"/>
              <a:t>udržování</a:t>
            </a:r>
            <a:r>
              <a:rPr lang="en-US"/>
              <a:t> v tis. Kč</a:t>
            </a:r>
          </a:p>
        </c:rich>
      </c:tx>
      <c:layout>
        <c:manualLayout>
          <c:xMode val="edge"/>
          <c:yMode val="edge"/>
          <c:x val="0.3286279379722248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4011688508081345"/>
          <c:y val="4.6634986114902056E-2"/>
          <c:w val="0.90911200978327733"/>
          <c:h val="0.5603576440321197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Kondice!$A$3</c:f>
              <c:strCache>
                <c:ptCount val="1"/>
                <c:pt idx="0">
                  <c:v>Splátky dlouhodobých závazků</c:v>
                </c:pt>
              </c:strCache>
            </c:strRef>
          </c:tx>
          <c:spPr>
            <a:solidFill>
              <a:srgbClr val="B1B2C3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cat>
            <c:strRef>
              <c:f>Kondice!$B$1:$Q$1</c:f>
              <c:strCache>
                <c:ptCount val="1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 rozpočet duben</c:v>
                </c:pt>
                <c:pt idx="11">
                  <c:v>2027 výhled</c:v>
                </c:pt>
                <c:pt idx="12">
                  <c:v>2028 výhled</c:v>
                </c:pt>
                <c:pt idx="13">
                  <c:v>2029 výhled</c:v>
                </c:pt>
                <c:pt idx="14">
                  <c:v>2030 výhled</c:v>
                </c:pt>
                <c:pt idx="15">
                  <c:v>2031 výhled</c:v>
                </c:pt>
              </c:strCache>
            </c:strRef>
          </c:cat>
          <c:val>
            <c:numRef>
              <c:f>Kondice!$B$3:$Q$3</c:f>
              <c:numCache>
                <c:formatCode>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754.72</c:v>
                </c:pt>
                <c:pt idx="9">
                  <c:v>15954.77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36-41B6-BBC5-782C62696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6891520"/>
        <c:axId val="86897408"/>
      </c:barChart>
      <c:lineChart>
        <c:grouping val="standard"/>
        <c:varyColors val="0"/>
        <c:ser>
          <c:idx val="0"/>
          <c:order val="0"/>
          <c:tx>
            <c:strRef>
              <c:f>Kondice!$A$2</c:f>
              <c:strCache>
                <c:ptCount val="1"/>
                <c:pt idx="0">
                  <c:v>Finanční kondice  (provozní saldo + opravy + zřejmé provozní rezervy rozpočtu)</c:v>
                </c:pt>
              </c:strCache>
            </c:strRef>
          </c:tx>
          <c:spPr>
            <a:ln w="60325" cap="rnd">
              <a:solidFill>
                <a:schemeClr val="accent1"/>
              </a:solidFill>
              <a:round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7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889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Kondice!$B$1:$Q$1</c:f>
              <c:strCache>
                <c:ptCount val="1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 rozpočet duben</c:v>
                </c:pt>
                <c:pt idx="11">
                  <c:v>2027 výhled</c:v>
                </c:pt>
                <c:pt idx="12">
                  <c:v>2028 výhled</c:v>
                </c:pt>
                <c:pt idx="13">
                  <c:v>2029 výhled</c:v>
                </c:pt>
                <c:pt idx="14">
                  <c:v>2030 výhled</c:v>
                </c:pt>
                <c:pt idx="15">
                  <c:v>2031 výhled</c:v>
                </c:pt>
              </c:strCache>
            </c:strRef>
          </c:cat>
          <c:val>
            <c:numRef>
              <c:f>Kondice!$B$2:$Q$2</c:f>
              <c:numCache>
                <c:formatCode>#,##0</c:formatCode>
                <c:ptCount val="16"/>
                <c:pt idx="0">
                  <c:v>6579.8305599999994</c:v>
                </c:pt>
                <c:pt idx="1">
                  <c:v>8066.9625399999995</c:v>
                </c:pt>
                <c:pt idx="2">
                  <c:v>10342.211089999999</c:v>
                </c:pt>
                <c:pt idx="3">
                  <c:v>13084.879270000001</c:v>
                </c:pt>
                <c:pt idx="4">
                  <c:v>9924.3945200000016</c:v>
                </c:pt>
                <c:pt idx="5">
                  <c:v>10888.674149999999</c:v>
                </c:pt>
                <c:pt idx="6">
                  <c:v>11756.302730000003</c:v>
                </c:pt>
                <c:pt idx="7">
                  <c:v>15454.928679999997</c:v>
                </c:pt>
                <c:pt idx="8">
                  <c:v>14219.610380000004</c:v>
                </c:pt>
                <c:pt idx="9">
                  <c:v>15494.595819999997</c:v>
                </c:pt>
                <c:pt idx="10">
                  <c:v>13316</c:v>
                </c:pt>
                <c:pt idx="11">
                  <c:v>10000</c:v>
                </c:pt>
                <c:pt idx="12">
                  <c:v>15000</c:v>
                </c:pt>
                <c:pt idx="13">
                  <c:v>17000</c:v>
                </c:pt>
                <c:pt idx="14">
                  <c:v>18000</c:v>
                </c:pt>
                <c:pt idx="15">
                  <c:v>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6-41B6-BBC5-782C62696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91520"/>
        <c:axId val="86897408"/>
      </c:lineChart>
      <c:catAx>
        <c:axId val="8689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6897408"/>
        <c:crosses val="autoZero"/>
        <c:auto val="1"/>
        <c:lblAlgn val="ctr"/>
        <c:lblOffset val="100"/>
        <c:noMultiLvlLbl val="0"/>
      </c:catAx>
      <c:valAx>
        <c:axId val="8689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68915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188468945796486"/>
          <c:y val="6.6908125130990453E-2"/>
          <c:w val="0.69474439326065363"/>
          <c:h val="0.77166983951312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'provozni saldo'!$B$5</c:f>
              <c:strCache>
                <c:ptCount val="1"/>
                <c:pt idx="0">
                  <c:v>PROVOZNÍ SALDO (tis. Kč)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6350">
              <a:solidFill>
                <a:schemeClr val="tx1"/>
              </a:solidFill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cat>
            <c:strRef>
              <c:f>'provozni saldo'!$C$2:$AA$2</c:f>
              <c:strCache>
                <c:ptCount val="2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 rozpočet duben</c:v>
                </c:pt>
                <c:pt idx="20">
                  <c:v>2027 výhled</c:v>
                </c:pt>
                <c:pt idx="21">
                  <c:v>2028 výhled</c:v>
                </c:pt>
                <c:pt idx="22">
                  <c:v>2029 výhled</c:v>
                </c:pt>
                <c:pt idx="23">
                  <c:v>2030 výhled</c:v>
                </c:pt>
                <c:pt idx="24">
                  <c:v>2031 výhled</c:v>
                </c:pt>
              </c:strCache>
            </c:strRef>
          </c:cat>
          <c:val>
            <c:numRef>
              <c:f>'provozni saldo'!$C$5:$AA$5</c:f>
              <c:numCache>
                <c:formatCode>#,##0</c:formatCode>
                <c:ptCount val="25"/>
                <c:pt idx="0">
                  <c:v>2573.3700000000008</c:v>
                </c:pt>
                <c:pt idx="1">
                  <c:v>3126.59</c:v>
                </c:pt>
                <c:pt idx="2">
                  <c:v>-18.219999999999345</c:v>
                </c:pt>
                <c:pt idx="3">
                  <c:v>1887.2599999999984</c:v>
                </c:pt>
                <c:pt idx="4">
                  <c:v>2289.9299999999985</c:v>
                </c:pt>
                <c:pt idx="5">
                  <c:v>2976.6999999999989</c:v>
                </c:pt>
                <c:pt idx="6">
                  <c:v>5131.840000000002</c:v>
                </c:pt>
                <c:pt idx="7">
                  <c:v>9297.2999999999993</c:v>
                </c:pt>
                <c:pt idx="8">
                  <c:v>14484.88</c:v>
                </c:pt>
                <c:pt idx="9">
                  <c:v>6161.74</c:v>
                </c:pt>
                <c:pt idx="10">
                  <c:v>7455.5499999999993</c:v>
                </c:pt>
                <c:pt idx="11">
                  <c:v>7377.9499999999989</c:v>
                </c:pt>
                <c:pt idx="12">
                  <c:v>11490.720000000001</c:v>
                </c:pt>
                <c:pt idx="13">
                  <c:v>7655.0400000000009</c:v>
                </c:pt>
                <c:pt idx="14">
                  <c:v>9777.7999999999993</c:v>
                </c:pt>
                <c:pt idx="15">
                  <c:v>6237.4800000000032</c:v>
                </c:pt>
                <c:pt idx="16">
                  <c:v>14686.039999999997</c:v>
                </c:pt>
                <c:pt idx="17">
                  <c:v>13255.390000000003</c:v>
                </c:pt>
                <c:pt idx="18">
                  <c:v>14143.109999999997</c:v>
                </c:pt>
                <c:pt idx="19">
                  <c:v>9273</c:v>
                </c:pt>
                <c:pt idx="20">
                  <c:v>10000</c:v>
                </c:pt>
                <c:pt idx="21">
                  <c:v>15000</c:v>
                </c:pt>
                <c:pt idx="22">
                  <c:v>17000</c:v>
                </c:pt>
                <c:pt idx="23">
                  <c:v>18000</c:v>
                </c:pt>
                <c:pt idx="24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F-4874-8F9E-CE030248B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3"/>
        <c:axId val="139297920"/>
        <c:axId val="139299840"/>
      </c:barChart>
      <c:lineChart>
        <c:grouping val="standard"/>
        <c:varyColors val="0"/>
        <c:ser>
          <c:idx val="2"/>
          <c:order val="1"/>
          <c:tx>
            <c:strRef>
              <c:f>'provozni saldo'!$B$8</c:f>
              <c:strCache>
                <c:ptCount val="1"/>
                <c:pt idx="0">
                  <c:v>Zbývá po uhrazení splátek úvěrů (tis. Kč)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bg1"/>
              </a:solidFill>
              <a:ln w="47625">
                <a:solidFill>
                  <a:srgbClr val="FF0000"/>
                </a:solidFill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'provozni saldo'!$C$2:$P$2</c:f>
              <c:numCache>
                <c:formatCode>0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'provozni saldo'!$C$8:$AA$8</c:f>
              <c:numCache>
                <c:formatCode>#,##0</c:formatCode>
                <c:ptCount val="25"/>
                <c:pt idx="0">
                  <c:v>2573.3700000000008</c:v>
                </c:pt>
                <c:pt idx="1">
                  <c:v>3126.59</c:v>
                </c:pt>
                <c:pt idx="2">
                  <c:v>-18.219999999999345</c:v>
                </c:pt>
                <c:pt idx="3">
                  <c:v>1887.2599999999984</c:v>
                </c:pt>
                <c:pt idx="4">
                  <c:v>2289.9299999999985</c:v>
                </c:pt>
                <c:pt idx="5">
                  <c:v>2976.6999999999989</c:v>
                </c:pt>
                <c:pt idx="6">
                  <c:v>5131.840000000002</c:v>
                </c:pt>
                <c:pt idx="7">
                  <c:v>9297.2999999999993</c:v>
                </c:pt>
                <c:pt idx="8">
                  <c:v>14484.88</c:v>
                </c:pt>
                <c:pt idx="9">
                  <c:v>6161.74</c:v>
                </c:pt>
                <c:pt idx="10">
                  <c:v>7455.5499999999993</c:v>
                </c:pt>
                <c:pt idx="11">
                  <c:v>7377.9499999999989</c:v>
                </c:pt>
                <c:pt idx="12">
                  <c:v>11490.720000000001</c:v>
                </c:pt>
                <c:pt idx="13">
                  <c:v>7655.0400000000009</c:v>
                </c:pt>
                <c:pt idx="14">
                  <c:v>9777.7999999999993</c:v>
                </c:pt>
                <c:pt idx="15">
                  <c:v>6237.4800000000032</c:v>
                </c:pt>
                <c:pt idx="16">
                  <c:v>14686.039999999997</c:v>
                </c:pt>
                <c:pt idx="17">
                  <c:v>12500.670000000004</c:v>
                </c:pt>
                <c:pt idx="18">
                  <c:v>-1811.6600000000035</c:v>
                </c:pt>
                <c:pt idx="19">
                  <c:v>9273</c:v>
                </c:pt>
                <c:pt idx="20">
                  <c:v>10000</c:v>
                </c:pt>
                <c:pt idx="21">
                  <c:v>15000</c:v>
                </c:pt>
                <c:pt idx="22">
                  <c:v>17000</c:v>
                </c:pt>
                <c:pt idx="23">
                  <c:v>18000</c:v>
                </c:pt>
                <c:pt idx="24">
                  <c:v>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F-4874-8F9E-CE030248B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97920"/>
        <c:axId val="139299840"/>
      </c:lineChart>
      <c:catAx>
        <c:axId val="13929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9299840"/>
        <c:crosses val="autoZero"/>
        <c:auto val="1"/>
        <c:lblAlgn val="ctr"/>
        <c:lblOffset val="100"/>
        <c:noMultiLvlLbl val="0"/>
      </c:catAx>
      <c:valAx>
        <c:axId val="1392998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tis. Kč</a:t>
                </a:r>
              </a:p>
            </c:rich>
          </c:tx>
          <c:layout>
            <c:manualLayout>
              <c:xMode val="edge"/>
              <c:yMode val="edge"/>
              <c:x val="0.18594824036327329"/>
              <c:y val="0.242969965417137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929792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1200"/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Výhled finančního krytí provozu v tis. Kč</a:t>
            </a:r>
          </a:p>
        </c:rich>
      </c:tx>
      <c:layout>
        <c:manualLayout>
          <c:xMode val="edge"/>
          <c:yMode val="edge"/>
          <c:x val="4.7680639297512073E-4"/>
          <c:y val="4.3899616513674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484438699193684"/>
          <c:y val="0.16876850595837165"/>
          <c:w val="0.74367903351672282"/>
          <c:h val="0.4704567562871181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'provozni saldo'!$B$4</c:f>
              <c:strCache>
                <c:ptCount val="1"/>
                <c:pt idx="0">
                  <c:v>Běžné výdaje (provozní)</c:v>
                </c:pt>
              </c:strCache>
            </c:strRef>
          </c:tx>
          <c:spPr>
            <a:solidFill>
              <a:schemeClr val="accent6"/>
            </a:solidFill>
            <a:ln w="603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'provozni saldo'!$C$2:$AA$2</c:f>
              <c:strCache>
                <c:ptCount val="2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 rozpočet duben</c:v>
                </c:pt>
                <c:pt idx="20">
                  <c:v>2027 výhled</c:v>
                </c:pt>
                <c:pt idx="21">
                  <c:v>2028 výhled</c:v>
                </c:pt>
                <c:pt idx="22">
                  <c:v>2029 výhled</c:v>
                </c:pt>
                <c:pt idx="23">
                  <c:v>2030 výhled</c:v>
                </c:pt>
                <c:pt idx="24">
                  <c:v>2031 výhled</c:v>
                </c:pt>
              </c:strCache>
            </c:strRef>
          </c:cat>
          <c:val>
            <c:numRef>
              <c:f>'provozni saldo'!$C$4:$AA$4</c:f>
              <c:numCache>
                <c:formatCode>#,##0</c:formatCode>
                <c:ptCount val="25"/>
                <c:pt idx="0">
                  <c:v>8576.56</c:v>
                </c:pt>
                <c:pt idx="1">
                  <c:v>7852.32</c:v>
                </c:pt>
                <c:pt idx="2">
                  <c:v>13234.47</c:v>
                </c:pt>
                <c:pt idx="3">
                  <c:v>9478.51</c:v>
                </c:pt>
                <c:pt idx="4">
                  <c:v>9311.67</c:v>
                </c:pt>
                <c:pt idx="5">
                  <c:v>9930.4</c:v>
                </c:pt>
                <c:pt idx="6">
                  <c:v>9606.49</c:v>
                </c:pt>
                <c:pt idx="7">
                  <c:v>6352.79</c:v>
                </c:pt>
                <c:pt idx="8">
                  <c:v>1640.81</c:v>
                </c:pt>
                <c:pt idx="9">
                  <c:v>10377.83</c:v>
                </c:pt>
                <c:pt idx="10">
                  <c:v>10816.59</c:v>
                </c:pt>
                <c:pt idx="11">
                  <c:v>15557.9</c:v>
                </c:pt>
                <c:pt idx="12">
                  <c:v>13717.71</c:v>
                </c:pt>
                <c:pt idx="13">
                  <c:v>16619.96</c:v>
                </c:pt>
                <c:pt idx="14">
                  <c:v>17179.5</c:v>
                </c:pt>
                <c:pt idx="15">
                  <c:v>25729.26</c:v>
                </c:pt>
                <c:pt idx="16">
                  <c:v>23264.52</c:v>
                </c:pt>
                <c:pt idx="17">
                  <c:v>24872.87</c:v>
                </c:pt>
                <c:pt idx="18">
                  <c:v>25030.7</c:v>
                </c:pt>
                <c:pt idx="19">
                  <c:v>38126</c:v>
                </c:pt>
                <c:pt idx="20">
                  <c:v>39670</c:v>
                </c:pt>
                <c:pt idx="21">
                  <c:v>37520</c:v>
                </c:pt>
                <c:pt idx="22">
                  <c:v>38720</c:v>
                </c:pt>
                <c:pt idx="23">
                  <c:v>40870</c:v>
                </c:pt>
                <c:pt idx="24">
                  <c:v>42220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A6-42EA-AC31-A6D40E461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39142656"/>
        <c:axId val="139144192"/>
      </c:barChart>
      <c:lineChart>
        <c:grouping val="standard"/>
        <c:varyColors val="0"/>
        <c:ser>
          <c:idx val="0"/>
          <c:order val="0"/>
          <c:tx>
            <c:strRef>
              <c:f>'provozni saldo'!$B$3</c:f>
              <c:strCache>
                <c:ptCount val="1"/>
                <c:pt idx="0">
                  <c:v>Běžné příjmy (včetně neinvestičních dotací)</c:v>
                </c:pt>
              </c:strCache>
            </c:strRef>
          </c:tx>
          <c:spPr>
            <a:ln w="50800"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Ref>
              <c:f>'provozni saldo'!$C$2:$AA$2</c:f>
              <c:strCache>
                <c:ptCount val="2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 rozpočet duben</c:v>
                </c:pt>
                <c:pt idx="20">
                  <c:v>2027 výhled</c:v>
                </c:pt>
                <c:pt idx="21">
                  <c:v>2028 výhled</c:v>
                </c:pt>
                <c:pt idx="22">
                  <c:v>2029 výhled</c:v>
                </c:pt>
                <c:pt idx="23">
                  <c:v>2030 výhled</c:v>
                </c:pt>
                <c:pt idx="24">
                  <c:v>2031 výhled</c:v>
                </c:pt>
              </c:strCache>
            </c:strRef>
          </c:cat>
          <c:val>
            <c:numRef>
              <c:f>'provozni saldo'!$C$3:$AA$3</c:f>
              <c:numCache>
                <c:formatCode>#,##0</c:formatCode>
                <c:ptCount val="25"/>
                <c:pt idx="0">
                  <c:v>11149.93</c:v>
                </c:pt>
                <c:pt idx="1">
                  <c:v>10978.91</c:v>
                </c:pt>
                <c:pt idx="2">
                  <c:v>13216.25</c:v>
                </c:pt>
                <c:pt idx="3">
                  <c:v>11365.769999999999</c:v>
                </c:pt>
                <c:pt idx="4">
                  <c:v>11601.599999999999</c:v>
                </c:pt>
                <c:pt idx="5">
                  <c:v>12907.099999999999</c:v>
                </c:pt>
                <c:pt idx="6">
                  <c:v>14738.330000000002</c:v>
                </c:pt>
                <c:pt idx="7">
                  <c:v>15650.09</c:v>
                </c:pt>
                <c:pt idx="8">
                  <c:v>16125.689999999999</c:v>
                </c:pt>
                <c:pt idx="9">
                  <c:v>16539.57</c:v>
                </c:pt>
                <c:pt idx="10">
                  <c:v>18272.14</c:v>
                </c:pt>
                <c:pt idx="11">
                  <c:v>22935.85</c:v>
                </c:pt>
                <c:pt idx="12">
                  <c:v>25208.43</c:v>
                </c:pt>
                <c:pt idx="13">
                  <c:v>24275</c:v>
                </c:pt>
                <c:pt idx="14">
                  <c:v>26957.3</c:v>
                </c:pt>
                <c:pt idx="15">
                  <c:v>31966.74</c:v>
                </c:pt>
                <c:pt idx="16">
                  <c:v>37950.559999999998</c:v>
                </c:pt>
                <c:pt idx="17">
                  <c:v>38128.26</c:v>
                </c:pt>
                <c:pt idx="18">
                  <c:v>39173.81</c:v>
                </c:pt>
                <c:pt idx="19">
                  <c:v>47399</c:v>
                </c:pt>
                <c:pt idx="20">
                  <c:v>49670</c:v>
                </c:pt>
                <c:pt idx="21">
                  <c:v>52520</c:v>
                </c:pt>
                <c:pt idx="22">
                  <c:v>55720</c:v>
                </c:pt>
                <c:pt idx="23">
                  <c:v>58870</c:v>
                </c:pt>
                <c:pt idx="24">
                  <c:v>62220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6-42EA-AC31-A6D40E4617E4}"/>
            </c:ext>
          </c:extLst>
        </c:ser>
        <c:ser>
          <c:idx val="2"/>
          <c:order val="2"/>
          <c:tx>
            <c:strRef>
              <c:f>'provozni saldo'!$B$5</c:f>
              <c:strCache>
                <c:ptCount val="1"/>
                <c:pt idx="0">
                  <c:v>PROVOZNÍ SALDO (tis. Kč)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'provozni saldo'!$C$2:$AA$2</c:f>
              <c:strCache>
                <c:ptCount val="2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 rozpočet duben</c:v>
                </c:pt>
                <c:pt idx="20">
                  <c:v>2027 výhled</c:v>
                </c:pt>
                <c:pt idx="21">
                  <c:v>2028 výhled</c:v>
                </c:pt>
                <c:pt idx="22">
                  <c:v>2029 výhled</c:v>
                </c:pt>
                <c:pt idx="23">
                  <c:v>2030 výhled</c:v>
                </c:pt>
                <c:pt idx="24">
                  <c:v>2031 výhled</c:v>
                </c:pt>
              </c:strCache>
            </c:strRef>
          </c:cat>
          <c:val>
            <c:numRef>
              <c:f>'provozni saldo'!$C$5:$AA$5</c:f>
              <c:numCache>
                <c:formatCode>#,##0</c:formatCode>
                <c:ptCount val="25"/>
                <c:pt idx="0">
                  <c:v>2573.3700000000008</c:v>
                </c:pt>
                <c:pt idx="1">
                  <c:v>3126.59</c:v>
                </c:pt>
                <c:pt idx="2">
                  <c:v>-18.219999999999345</c:v>
                </c:pt>
                <c:pt idx="3">
                  <c:v>1887.2599999999984</c:v>
                </c:pt>
                <c:pt idx="4">
                  <c:v>2289.9299999999985</c:v>
                </c:pt>
                <c:pt idx="5">
                  <c:v>2976.6999999999989</c:v>
                </c:pt>
                <c:pt idx="6">
                  <c:v>5131.840000000002</c:v>
                </c:pt>
                <c:pt idx="7">
                  <c:v>9297.2999999999993</c:v>
                </c:pt>
                <c:pt idx="8">
                  <c:v>14484.88</c:v>
                </c:pt>
                <c:pt idx="9">
                  <c:v>6161.74</c:v>
                </c:pt>
                <c:pt idx="10">
                  <c:v>7455.5499999999993</c:v>
                </c:pt>
                <c:pt idx="11">
                  <c:v>7377.9499999999989</c:v>
                </c:pt>
                <c:pt idx="12">
                  <c:v>11490.720000000001</c:v>
                </c:pt>
                <c:pt idx="13">
                  <c:v>7655.0400000000009</c:v>
                </c:pt>
                <c:pt idx="14">
                  <c:v>9777.7999999999993</c:v>
                </c:pt>
                <c:pt idx="15">
                  <c:v>6237.4800000000032</c:v>
                </c:pt>
                <c:pt idx="16">
                  <c:v>14686.039999999997</c:v>
                </c:pt>
                <c:pt idx="17">
                  <c:v>13255.390000000003</c:v>
                </c:pt>
                <c:pt idx="18">
                  <c:v>14143.109999999997</c:v>
                </c:pt>
                <c:pt idx="19">
                  <c:v>9273</c:v>
                </c:pt>
                <c:pt idx="20">
                  <c:v>10000</c:v>
                </c:pt>
                <c:pt idx="21">
                  <c:v>15000</c:v>
                </c:pt>
                <c:pt idx="22">
                  <c:v>17000</c:v>
                </c:pt>
                <c:pt idx="23">
                  <c:v>18000</c:v>
                </c:pt>
                <c:pt idx="24">
                  <c:v>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A6-42EA-AC31-A6D40E461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42656"/>
        <c:axId val="139144192"/>
      </c:lineChart>
      <c:catAx>
        <c:axId val="13914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39144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14419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3914265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1000"/>
      </a:pPr>
      <a:endParaRPr lang="cs-CZ"/>
    </a:p>
  </c:txPr>
  <c:printSettings>
    <c:headerFooter alignWithMargins="0">
      <c:oddHeader>&amp;R&amp;G</c:oddHeader>
      <c:oddFooter>&amp;L&amp;D&amp;Rwww.regionservis.cz</c:oddFooter>
    </c:headerFooter>
    <c:pageMargins b="0.98425196899999956" l="0.68" r="0.62000000000000965" t="0.98425196899999956" header="0.49212598450000788" footer="0.28000000000000008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39657184584719"/>
          <c:y val="6.6908125130990453E-2"/>
          <c:w val="0.75916469388479291"/>
          <c:h val="0.68679324876595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'provozni saldo'!$B$5</c:f>
              <c:strCache>
                <c:ptCount val="1"/>
                <c:pt idx="0">
                  <c:v>PROVOZNÍ SALDO (tis. Kč)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6350">
              <a:solidFill>
                <a:schemeClr val="tx1"/>
              </a:solidFill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cat>
            <c:strRef>
              <c:f>'provozni saldo'!$C$2:$AA$2</c:f>
              <c:strCache>
                <c:ptCount val="2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 rozpočet duben</c:v>
                </c:pt>
                <c:pt idx="20">
                  <c:v>2027 výhled</c:v>
                </c:pt>
                <c:pt idx="21">
                  <c:v>2028 výhled</c:v>
                </c:pt>
                <c:pt idx="22">
                  <c:v>2029 výhled</c:v>
                </c:pt>
                <c:pt idx="23">
                  <c:v>2030 výhled</c:v>
                </c:pt>
                <c:pt idx="24">
                  <c:v>2031 výhled</c:v>
                </c:pt>
              </c:strCache>
            </c:strRef>
          </c:cat>
          <c:val>
            <c:numRef>
              <c:f>'provozni saldo'!$C$5:$AA$5</c:f>
              <c:numCache>
                <c:formatCode>#,##0</c:formatCode>
                <c:ptCount val="25"/>
                <c:pt idx="0">
                  <c:v>2573.3700000000008</c:v>
                </c:pt>
                <c:pt idx="1">
                  <c:v>3126.59</c:v>
                </c:pt>
                <c:pt idx="2">
                  <c:v>-18.219999999999345</c:v>
                </c:pt>
                <c:pt idx="3">
                  <c:v>1887.2599999999984</c:v>
                </c:pt>
                <c:pt idx="4">
                  <c:v>2289.9299999999985</c:v>
                </c:pt>
                <c:pt idx="5">
                  <c:v>2976.6999999999989</c:v>
                </c:pt>
                <c:pt idx="6">
                  <c:v>5131.840000000002</c:v>
                </c:pt>
                <c:pt idx="7">
                  <c:v>9297.2999999999993</c:v>
                </c:pt>
                <c:pt idx="8">
                  <c:v>14484.88</c:v>
                </c:pt>
                <c:pt idx="9">
                  <c:v>6161.74</c:v>
                </c:pt>
                <c:pt idx="10">
                  <c:v>7455.5499999999993</c:v>
                </c:pt>
                <c:pt idx="11">
                  <c:v>7377.9499999999989</c:v>
                </c:pt>
                <c:pt idx="12">
                  <c:v>11490.720000000001</c:v>
                </c:pt>
                <c:pt idx="13">
                  <c:v>7655.0400000000009</c:v>
                </c:pt>
                <c:pt idx="14">
                  <c:v>9777.7999999999993</c:v>
                </c:pt>
                <c:pt idx="15">
                  <c:v>6237.4800000000032</c:v>
                </c:pt>
                <c:pt idx="16">
                  <c:v>14686.039999999997</c:v>
                </c:pt>
                <c:pt idx="17">
                  <c:v>13255.390000000003</c:v>
                </c:pt>
                <c:pt idx="18">
                  <c:v>14143.109999999997</c:v>
                </c:pt>
                <c:pt idx="19">
                  <c:v>9273</c:v>
                </c:pt>
                <c:pt idx="20">
                  <c:v>10000</c:v>
                </c:pt>
                <c:pt idx="21">
                  <c:v>15000</c:v>
                </c:pt>
                <c:pt idx="22">
                  <c:v>17000</c:v>
                </c:pt>
                <c:pt idx="23">
                  <c:v>18000</c:v>
                </c:pt>
                <c:pt idx="24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C-4E40-A0E9-968A3B3A4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3"/>
        <c:axId val="139441664"/>
        <c:axId val="139443200"/>
      </c:barChart>
      <c:lineChart>
        <c:grouping val="standard"/>
        <c:varyColors val="0"/>
        <c:ser>
          <c:idx val="3"/>
          <c:order val="1"/>
          <c:tx>
            <c:strRef>
              <c:f>'provozni saldo'!$B$9</c:f>
              <c:strCache>
                <c:ptCount val="1"/>
                <c:pt idx="0">
                  <c:v>Stav na bankovních účtech (tis. Kč)</c:v>
                </c:pt>
              </c:strCache>
            </c:strRef>
          </c:tx>
          <c:marker>
            <c:symbol val="none"/>
          </c:marker>
          <c:cat>
            <c:strRef>
              <c:f>'provozni saldo'!$C$2:$AA$2</c:f>
              <c:strCache>
                <c:ptCount val="2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 rozpočet duben</c:v>
                </c:pt>
                <c:pt idx="20">
                  <c:v>2027 výhled</c:v>
                </c:pt>
                <c:pt idx="21">
                  <c:v>2028 výhled</c:v>
                </c:pt>
                <c:pt idx="22">
                  <c:v>2029 výhled</c:v>
                </c:pt>
                <c:pt idx="23">
                  <c:v>2030 výhled</c:v>
                </c:pt>
                <c:pt idx="24">
                  <c:v>2031 výhled</c:v>
                </c:pt>
              </c:strCache>
            </c:strRef>
          </c:cat>
          <c:val>
            <c:numRef>
              <c:f>'provozni saldo'!$C$9:$AA$9</c:f>
              <c:numCache>
                <c:formatCode>#,##0</c:formatCode>
                <c:ptCount val="25"/>
                <c:pt idx="0">
                  <c:v>6084.13</c:v>
                </c:pt>
                <c:pt idx="1">
                  <c:v>8045.57</c:v>
                </c:pt>
                <c:pt idx="2">
                  <c:v>14856.16</c:v>
                </c:pt>
                <c:pt idx="3">
                  <c:v>15783.4</c:v>
                </c:pt>
                <c:pt idx="4">
                  <c:v>17191</c:v>
                </c:pt>
                <c:pt idx="5">
                  <c:v>18473.39</c:v>
                </c:pt>
                <c:pt idx="6">
                  <c:v>22564.251800000002</c:v>
                </c:pt>
                <c:pt idx="7">
                  <c:v>23830.419449999998</c:v>
                </c:pt>
                <c:pt idx="8">
                  <c:v>15374.77824</c:v>
                </c:pt>
                <c:pt idx="9">
                  <c:v>20688.119190000001</c:v>
                </c:pt>
                <c:pt idx="10">
                  <c:v>26077.906429999999</c:v>
                </c:pt>
                <c:pt idx="11">
                  <c:v>28284.134289999998</c:v>
                </c:pt>
                <c:pt idx="12">
                  <c:v>49917.503960000002</c:v>
                </c:pt>
                <c:pt idx="13">
                  <c:v>29917.509959999999</c:v>
                </c:pt>
                <c:pt idx="14">
                  <c:v>14204.01964</c:v>
                </c:pt>
                <c:pt idx="15">
                  <c:v>13180.112949999999</c:v>
                </c:pt>
                <c:pt idx="16">
                  <c:v>20710.476649999997</c:v>
                </c:pt>
                <c:pt idx="17">
                  <c:v>12042.01359</c:v>
                </c:pt>
                <c:pt idx="18">
                  <c:v>12134.72443</c:v>
                </c:pt>
                <c:pt idx="19">
                  <c:v>8832.7244300000002</c:v>
                </c:pt>
                <c:pt idx="20">
                  <c:v>18832.724430000002</c:v>
                </c:pt>
                <c:pt idx="21">
                  <c:v>33832.724430000002</c:v>
                </c:pt>
                <c:pt idx="22">
                  <c:v>50832.724430000002</c:v>
                </c:pt>
                <c:pt idx="23">
                  <c:v>68832.724430000002</c:v>
                </c:pt>
                <c:pt idx="24">
                  <c:v>88832.724430000002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C-4E40-A0E9-968A3B3A4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441664"/>
        <c:axId val="139443200"/>
      </c:lineChart>
      <c:lineChart>
        <c:grouping val="standard"/>
        <c:varyColors val="0"/>
        <c:ser>
          <c:idx val="1"/>
          <c:order val="2"/>
          <c:tx>
            <c:strRef>
              <c:f>'provozni saldo'!$B$6</c:f>
              <c:strCache>
                <c:ptCount val="1"/>
                <c:pt idx="0">
                  <c:v>% Podíl provozního salda na běžných příjmech</c:v>
                </c:pt>
              </c:strCache>
            </c:strRef>
          </c:tx>
          <c:spPr>
            <a:ln w="34925">
              <a:solidFill>
                <a:prstClr val="black"/>
              </a:solidFill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'provozni saldo'!$C$2:$AA$2</c:f>
              <c:strCache>
                <c:ptCount val="2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 rozpočet duben</c:v>
                </c:pt>
                <c:pt idx="20">
                  <c:v>2027 výhled</c:v>
                </c:pt>
                <c:pt idx="21">
                  <c:v>2028 výhled</c:v>
                </c:pt>
                <c:pt idx="22">
                  <c:v>2029 výhled</c:v>
                </c:pt>
                <c:pt idx="23">
                  <c:v>2030 výhled</c:v>
                </c:pt>
                <c:pt idx="24">
                  <c:v>2031 výhled</c:v>
                </c:pt>
              </c:strCache>
            </c:strRef>
          </c:cat>
          <c:val>
            <c:numRef>
              <c:f>'provozni saldo'!$C$6:$AA$6</c:f>
              <c:numCache>
                <c:formatCode>0%</c:formatCode>
                <c:ptCount val="25"/>
                <c:pt idx="0">
                  <c:v>0.23079696464462116</c:v>
                </c:pt>
                <c:pt idx="1">
                  <c:v>0.28478145826862594</c:v>
                </c:pt>
                <c:pt idx="2">
                  <c:v>-1.3786058829092476E-3</c:v>
                </c:pt>
                <c:pt idx="3">
                  <c:v>0.1660477028833065</c:v>
                </c:pt>
                <c:pt idx="4">
                  <c:v>0.19738053371948686</c:v>
                </c:pt>
                <c:pt idx="5">
                  <c:v>0.23062500484229603</c:v>
                </c:pt>
                <c:pt idx="6">
                  <c:v>0.34819684455430172</c:v>
                </c:pt>
                <c:pt idx="7">
                  <c:v>0.59407326092054413</c:v>
                </c:pt>
                <c:pt idx="8">
                  <c:v>0.89824869509459748</c:v>
                </c:pt>
                <c:pt idx="9">
                  <c:v>0.37254535637867248</c:v>
                </c:pt>
                <c:pt idx="10">
                  <c:v>0.40802828787432666</c:v>
                </c:pt>
                <c:pt idx="11">
                  <c:v>0.32167763566643481</c:v>
                </c:pt>
                <c:pt idx="12">
                  <c:v>0.45582846690571371</c:v>
                </c:pt>
                <c:pt idx="13">
                  <c:v>0.31534665293511849</c:v>
                </c:pt>
                <c:pt idx="14">
                  <c:v>0.36271436679489411</c:v>
                </c:pt>
                <c:pt idx="15">
                  <c:v>0.19512405706681391</c:v>
                </c:pt>
                <c:pt idx="16">
                  <c:v>0.38697821586822428</c:v>
                </c:pt>
                <c:pt idx="17">
                  <c:v>0.34765263350596126</c:v>
                </c:pt>
                <c:pt idx="18">
                  <c:v>0.36103483424257171</c:v>
                </c:pt>
                <c:pt idx="19">
                  <c:v>0.1956370387560919</c:v>
                </c:pt>
                <c:pt idx="20">
                  <c:v>0.20132876988121604</c:v>
                </c:pt>
                <c:pt idx="21">
                  <c:v>0.28560548362528559</c:v>
                </c:pt>
                <c:pt idx="22">
                  <c:v>0.30509691313711412</c:v>
                </c:pt>
                <c:pt idx="23">
                  <c:v>0.30575845082384917</c:v>
                </c:pt>
                <c:pt idx="24">
                  <c:v>0.32144005143040821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5C-4E40-A0E9-968A3B3A4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336320"/>
        <c:axId val="139334784"/>
      </c:lineChart>
      <c:catAx>
        <c:axId val="13944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9443200"/>
        <c:crosses val="autoZero"/>
        <c:auto val="1"/>
        <c:lblAlgn val="ctr"/>
        <c:lblOffset val="100"/>
        <c:noMultiLvlLbl val="0"/>
      </c:catAx>
      <c:valAx>
        <c:axId val="1394432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tis. Kč</a:t>
                </a:r>
              </a:p>
            </c:rich>
          </c:tx>
          <c:layout>
            <c:manualLayout>
              <c:xMode val="edge"/>
              <c:yMode val="edge"/>
              <c:x val="0.18594824036327329"/>
              <c:y val="0.242969965417137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9441664"/>
        <c:crosses val="autoZero"/>
        <c:crossBetween val="between"/>
      </c:valAx>
      <c:valAx>
        <c:axId val="13933478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139336320"/>
        <c:crosses val="max"/>
        <c:crossBetween val="between"/>
      </c:valAx>
      <c:catAx>
        <c:axId val="139336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933478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1200"/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056918853676206"/>
          <c:y val="9.8942139055715181E-2"/>
          <c:w val="0.67824606503290896"/>
          <c:h val="0.68679324876595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'provozni saldo'!$B$5</c:f>
              <c:strCache>
                <c:ptCount val="1"/>
                <c:pt idx="0">
                  <c:v>PROVOZNÍ SALDO (tis. Kč)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6350">
              <a:solidFill>
                <a:schemeClr val="tx1"/>
              </a:solidFill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cat>
            <c:strRef>
              <c:f>'provozni saldo'!$C$2:$AA$2</c:f>
              <c:strCache>
                <c:ptCount val="2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 rozpočet duben</c:v>
                </c:pt>
                <c:pt idx="20">
                  <c:v>2027 výhled</c:v>
                </c:pt>
                <c:pt idx="21">
                  <c:v>2028 výhled</c:v>
                </c:pt>
                <c:pt idx="22">
                  <c:v>2029 výhled</c:v>
                </c:pt>
                <c:pt idx="23">
                  <c:v>2030 výhled</c:v>
                </c:pt>
                <c:pt idx="24">
                  <c:v>2031 výhled</c:v>
                </c:pt>
              </c:strCache>
            </c:strRef>
          </c:cat>
          <c:val>
            <c:numRef>
              <c:f>'provozni saldo'!$C$5:$AA$5</c:f>
              <c:numCache>
                <c:formatCode>#,##0</c:formatCode>
                <c:ptCount val="25"/>
                <c:pt idx="0">
                  <c:v>2573.3700000000008</c:v>
                </c:pt>
                <c:pt idx="1">
                  <c:v>3126.59</c:v>
                </c:pt>
                <c:pt idx="2">
                  <c:v>-18.219999999999345</c:v>
                </c:pt>
                <c:pt idx="3">
                  <c:v>1887.2599999999984</c:v>
                </c:pt>
                <c:pt idx="4">
                  <c:v>2289.9299999999985</c:v>
                </c:pt>
                <c:pt idx="5">
                  <c:v>2976.6999999999989</c:v>
                </c:pt>
                <c:pt idx="6">
                  <c:v>5131.840000000002</c:v>
                </c:pt>
                <c:pt idx="7">
                  <c:v>9297.2999999999993</c:v>
                </c:pt>
                <c:pt idx="8">
                  <c:v>14484.88</c:v>
                </c:pt>
                <c:pt idx="9">
                  <c:v>6161.74</c:v>
                </c:pt>
                <c:pt idx="10">
                  <c:v>7455.5499999999993</c:v>
                </c:pt>
                <c:pt idx="11">
                  <c:v>7377.9499999999989</c:v>
                </c:pt>
                <c:pt idx="12">
                  <c:v>11490.720000000001</c:v>
                </c:pt>
                <c:pt idx="13">
                  <c:v>7655.0400000000009</c:v>
                </c:pt>
                <c:pt idx="14">
                  <c:v>9777.7999999999993</c:v>
                </c:pt>
                <c:pt idx="15">
                  <c:v>6237.4800000000032</c:v>
                </c:pt>
                <c:pt idx="16">
                  <c:v>14686.039999999997</c:v>
                </c:pt>
                <c:pt idx="17">
                  <c:v>13255.390000000003</c:v>
                </c:pt>
                <c:pt idx="18">
                  <c:v>14143.109999999997</c:v>
                </c:pt>
                <c:pt idx="19">
                  <c:v>9273</c:v>
                </c:pt>
                <c:pt idx="20">
                  <c:v>10000</c:v>
                </c:pt>
                <c:pt idx="21">
                  <c:v>15000</c:v>
                </c:pt>
                <c:pt idx="22">
                  <c:v>17000</c:v>
                </c:pt>
                <c:pt idx="23">
                  <c:v>18000</c:v>
                </c:pt>
                <c:pt idx="24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62-4C7F-A600-F72EAF8EE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3"/>
        <c:axId val="139367168"/>
        <c:axId val="139368704"/>
      </c:barChart>
      <c:lineChart>
        <c:grouping val="standard"/>
        <c:varyColors val="0"/>
        <c:ser>
          <c:idx val="3"/>
          <c:order val="1"/>
          <c:tx>
            <c:strRef>
              <c:f>'provozni saldo'!$B$9</c:f>
              <c:strCache>
                <c:ptCount val="1"/>
                <c:pt idx="0">
                  <c:v>Stav na bankovních účtech (tis. Kč)</c:v>
                </c:pt>
              </c:strCache>
            </c:strRef>
          </c:tx>
          <c:marker>
            <c:symbol val="none"/>
          </c:marker>
          <c:cat>
            <c:strRef>
              <c:f>'provozni saldo'!$C$2:$AA$2</c:f>
              <c:strCache>
                <c:ptCount val="2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 rozpočet duben</c:v>
                </c:pt>
                <c:pt idx="20">
                  <c:v>2027 výhled</c:v>
                </c:pt>
                <c:pt idx="21">
                  <c:v>2028 výhled</c:v>
                </c:pt>
                <c:pt idx="22">
                  <c:v>2029 výhled</c:v>
                </c:pt>
                <c:pt idx="23">
                  <c:v>2030 výhled</c:v>
                </c:pt>
                <c:pt idx="24">
                  <c:v>2031 výhled</c:v>
                </c:pt>
              </c:strCache>
            </c:strRef>
          </c:cat>
          <c:val>
            <c:numRef>
              <c:f>'provozni saldo'!$C$9:$AA$9</c:f>
              <c:numCache>
                <c:formatCode>#,##0</c:formatCode>
                <c:ptCount val="25"/>
                <c:pt idx="0">
                  <c:v>6084.13</c:v>
                </c:pt>
                <c:pt idx="1">
                  <c:v>8045.57</c:v>
                </c:pt>
                <c:pt idx="2">
                  <c:v>14856.16</c:v>
                </c:pt>
                <c:pt idx="3">
                  <c:v>15783.4</c:v>
                </c:pt>
                <c:pt idx="4">
                  <c:v>17191</c:v>
                </c:pt>
                <c:pt idx="5">
                  <c:v>18473.39</c:v>
                </c:pt>
                <c:pt idx="6">
                  <c:v>22564.251800000002</c:v>
                </c:pt>
                <c:pt idx="7">
                  <c:v>23830.419449999998</c:v>
                </c:pt>
                <c:pt idx="8">
                  <c:v>15374.77824</c:v>
                </c:pt>
                <c:pt idx="9">
                  <c:v>20688.119190000001</c:v>
                </c:pt>
                <c:pt idx="10">
                  <c:v>26077.906429999999</c:v>
                </c:pt>
                <c:pt idx="11">
                  <c:v>28284.134289999998</c:v>
                </c:pt>
                <c:pt idx="12">
                  <c:v>49917.503960000002</c:v>
                </c:pt>
                <c:pt idx="13">
                  <c:v>29917.509959999999</c:v>
                </c:pt>
                <c:pt idx="14">
                  <c:v>14204.01964</c:v>
                </c:pt>
                <c:pt idx="15">
                  <c:v>13180.112949999999</c:v>
                </c:pt>
                <c:pt idx="16">
                  <c:v>20710.476649999997</c:v>
                </c:pt>
                <c:pt idx="17">
                  <c:v>12042.01359</c:v>
                </c:pt>
                <c:pt idx="18">
                  <c:v>12134.72443</c:v>
                </c:pt>
                <c:pt idx="19">
                  <c:v>8832.7244300000002</c:v>
                </c:pt>
                <c:pt idx="20">
                  <c:v>18832.724430000002</c:v>
                </c:pt>
                <c:pt idx="21">
                  <c:v>33832.724430000002</c:v>
                </c:pt>
                <c:pt idx="22">
                  <c:v>50832.724430000002</c:v>
                </c:pt>
                <c:pt idx="23">
                  <c:v>68832.724430000002</c:v>
                </c:pt>
                <c:pt idx="24">
                  <c:v>88832.724430000002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2-4C7F-A600-F72EAF8EE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367168"/>
        <c:axId val="139368704"/>
      </c:lineChart>
      <c:catAx>
        <c:axId val="13936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9368704"/>
        <c:crosses val="autoZero"/>
        <c:auto val="1"/>
        <c:lblAlgn val="ctr"/>
        <c:lblOffset val="100"/>
        <c:noMultiLvlLbl val="0"/>
      </c:catAx>
      <c:valAx>
        <c:axId val="1393687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tis. Kč</a:t>
                </a:r>
              </a:p>
            </c:rich>
          </c:tx>
          <c:layout>
            <c:manualLayout>
              <c:xMode val="edge"/>
              <c:yMode val="edge"/>
              <c:x val="0.1859482403632734"/>
              <c:y val="0.24296996541713725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936716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1200"/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cs-CZ"/>
              <a:t>Dlouhodobé pohledávky za dlužníky v tis. Kč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1.3753126941263221E-2"/>
          <c:y val="0.36418010479710794"/>
          <c:w val="0.97249374611747352"/>
          <c:h val="0.36926795183251476"/>
        </c:manualLayout>
      </c:layout>
      <c:lineChart>
        <c:grouping val="standard"/>
        <c:varyColors val="0"/>
        <c:ser>
          <c:idx val="0"/>
          <c:order val="0"/>
          <c:tx>
            <c:strRef>
              <c:f>'výhled-aktiv '!$C$50</c:f>
              <c:strCache>
                <c:ptCount val="1"/>
                <c:pt idx="0">
                  <c:v>Dlouhodobé pohledávky (účet 462 až 471)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'výhled-aktiv '!$Q$2:$Y$2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'výhled-aktiv '!$Q$50:$Y$50</c:f>
              <c:numCache>
                <c:formatCode>#,##0</c:formatCode>
                <c:ptCount val="4"/>
                <c:pt idx="0">
                  <c:v>5.0999999999999996</c:v>
                </c:pt>
                <c:pt idx="1">
                  <c:v>5.0999999999999996</c:v>
                </c:pt>
                <c:pt idx="2">
                  <c:v>5.0999999999999996</c:v>
                </c:pt>
                <c:pt idx="3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1-43DF-A32F-C182B25D3A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39926144"/>
        <c:axId val="139936128"/>
      </c:lineChart>
      <c:catAx>
        <c:axId val="139926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9936128"/>
        <c:crosses val="autoZero"/>
        <c:auto val="1"/>
        <c:lblAlgn val="ctr"/>
        <c:lblOffset val="100"/>
        <c:noMultiLvlLbl val="0"/>
      </c:catAx>
      <c:valAx>
        <c:axId val="13993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99261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cap="none" spc="150" baseline="0">
                <a:solidFill>
                  <a:sysClr val="windowText" lastClr="000000"/>
                </a:solidFill>
                <a:latin typeface="+mn-lt"/>
                <a:ea typeface="Verdana" panose="020B0604030504040204" pitchFamily="34" charset="0"/>
                <a:cs typeface="Times New Roman" panose="02020603050405020304" pitchFamily="18" charset="0"/>
              </a:defRPr>
            </a:pPr>
            <a:r>
              <a:rPr lang="cs-CZ" cap="none" baseline="0"/>
              <a:t>Krátkodobá finanční aktiva (rezervy) v tis. Kč</a:t>
            </a:r>
          </a:p>
        </c:rich>
      </c:tx>
      <c:layout>
        <c:manualLayout>
          <c:xMode val="edge"/>
          <c:yMode val="edge"/>
          <c:x val="0.2642911199724265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cap="none" spc="150" baseline="0">
              <a:solidFill>
                <a:sysClr val="windowText" lastClr="000000"/>
              </a:solidFill>
              <a:latin typeface="+mn-lt"/>
              <a:ea typeface="Verdana" panose="020B0604030504040204" pitchFamily="34" charset="0"/>
              <a:cs typeface="Times New Roman" panose="02020603050405020304" pitchFamily="18" charset="0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2.4810279671130989E-2"/>
          <c:y val="0.2582177376098243"/>
          <c:w val="0.96284152976394799"/>
          <c:h val="0.26142385361438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'výhled-aktiv '!$C$44</c:f>
              <c:strCache>
                <c:ptCount val="1"/>
                <c:pt idx="0">
                  <c:v>Krátkodobý finanční majetek:</c:v>
                </c:pt>
              </c:strCache>
            </c:strRef>
          </c:tx>
          <c:spPr>
            <a:pattFill prst="ltHorz">
              <a:fgClr>
                <a:schemeClr val="tx2"/>
              </a:fgClr>
              <a:bgClr>
                <a:srgbClr val="FFFF00"/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Verdana" panose="020B0604030504040204" pitchFamily="34" charset="0"/>
                      <a:cs typeface="Times New Roman" panose="02020603050405020304" pitchFamily="18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274-429A-A4FA-C6CD85CC4E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Verdana" panose="020B0604030504040204" pitchFamily="34" charset="0"/>
                    <a:cs typeface="Times New Roman" panose="02020603050405020304" pitchFamily="18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'výhled-aktiv '!$J$2:$Z$2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 rozpočet duben</c:v>
                </c:pt>
              </c:strCache>
            </c:strRef>
          </c:cat>
          <c:val>
            <c:numRef>
              <c:f>'výhled-aktiv '!$J$44:$Z$44</c:f>
              <c:numCache>
                <c:formatCode>#,##0</c:formatCode>
                <c:ptCount val="5"/>
                <c:pt idx="0">
                  <c:v>13180.112949999999</c:v>
                </c:pt>
                <c:pt idx="1">
                  <c:v>20710.476649999997</c:v>
                </c:pt>
                <c:pt idx="2">
                  <c:v>12042.01359</c:v>
                </c:pt>
                <c:pt idx="3">
                  <c:v>12134.72443</c:v>
                </c:pt>
                <c:pt idx="4">
                  <c:v>8832.7244300000002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E-446B-8A86-59F38CDAE55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9"/>
        <c:overlap val="-2"/>
        <c:axId val="139686272"/>
        <c:axId val="139687808"/>
      </c:barChart>
      <c:catAx>
        <c:axId val="13968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cs-CZ"/>
          </a:p>
        </c:txPr>
        <c:crossAx val="139687808"/>
        <c:crosses val="autoZero"/>
        <c:auto val="1"/>
        <c:lblAlgn val="ctr"/>
        <c:lblOffset val="100"/>
        <c:noMultiLvlLbl val="0"/>
      </c:catAx>
      <c:valAx>
        <c:axId val="13968780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cs-CZ"/>
          </a:p>
        </c:txPr>
        <c:crossAx val="13968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+mn-lt"/>
          <a:ea typeface="Verdana" panose="020B0604030504040204" pitchFamily="34" charset="0"/>
          <a:cs typeface="Times New Roman" panose="02020603050405020304" pitchFamily="18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Dlouhodobé úvěry v tis. Kč</a:t>
            </a:r>
          </a:p>
        </c:rich>
      </c:tx>
      <c:layout>
        <c:manualLayout>
          <c:xMode val="edge"/>
          <c:yMode val="edge"/>
          <c:x val="0.3921608960165997"/>
          <c:y val="1.47157186760140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1920180553572391"/>
          <c:y val="0.11178270589228487"/>
          <c:w val="0.95217121131457783"/>
          <c:h val="0.444108647053857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'výhled-aktiv '!$C$49</c:f>
              <c:strCache>
                <c:ptCount val="1"/>
                <c:pt idx="0">
                  <c:v>Dlouhodobé úvěry a půjčky (splatné dlouhodobé závazky)</c:v>
                </c:pt>
              </c:strCache>
            </c:strRef>
          </c:tx>
          <c:spPr>
            <a:solidFill>
              <a:srgbClr val="FFC000"/>
            </a:solidFill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'výhled-aktiv '!$P$2:$Z$2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 rozpočet duben</c:v>
                </c:pt>
              </c:strCache>
            </c:strRef>
          </c:cat>
          <c:val>
            <c:numRef>
              <c:f>'výhled-aktiv '!$P$49:$Z$49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15954.768970000001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5F-47DB-9DFE-1900FFC8C0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2"/>
        <c:axId val="139516544"/>
        <c:axId val="139661696"/>
      </c:barChart>
      <c:lineChart>
        <c:grouping val="standard"/>
        <c:varyColors val="0"/>
        <c:ser>
          <c:idx val="1"/>
          <c:order val="1"/>
          <c:tx>
            <c:strRef>
              <c:f>'výhled-aktiv '!$C$38</c:f>
              <c:strCache>
                <c:ptCount val="1"/>
                <c:pt idx="0">
                  <c:v>Uhrazené splátky dlouhodobých přijatých půjčených prostředků</c:v>
                </c:pt>
              </c:strCache>
              <c:extLst xmlns:c15="http://schemas.microsoft.com/office/drawing/2012/chart"/>
            </c:strRef>
          </c:tx>
          <c:spPr>
            <a:ln w="41275">
              <a:solidFill>
                <a:schemeClr val="tx1"/>
              </a:solidFill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numRef>
              <c:f>'výhled-aktiv '!$P$2:$Y$2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'výhled-aktiv '!$P$38:$Z$38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754.72</c:v>
                </c:pt>
                <c:pt idx="3">
                  <c:v>15954.77</c:v>
                </c:pt>
                <c:pt idx="4">
                  <c:v>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917D-4289-9CA2-FFE024C35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516544"/>
        <c:axId val="139661696"/>
        <c:extLst/>
      </c:lineChart>
      <c:catAx>
        <c:axId val="13951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/>
          <a:lstStyle/>
          <a:p>
            <a:pPr>
              <a:defRPr/>
            </a:pPr>
            <a:endParaRPr lang="cs-CZ"/>
          </a:p>
        </c:txPr>
        <c:crossAx val="139661696"/>
        <c:crosses val="autoZero"/>
        <c:auto val="1"/>
        <c:lblAlgn val="ctr"/>
        <c:lblOffset val="100"/>
        <c:noMultiLvlLbl val="0"/>
      </c:catAx>
      <c:valAx>
        <c:axId val="13966169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1395165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1600"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Základní běžný účet v tis. Kč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'výhled-aktiv '!$C$44</c:f>
              <c:strCache>
                <c:ptCount val="1"/>
                <c:pt idx="0">
                  <c:v>Krátkodobý finanční majetek: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4200000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'výhled-aktiv '!$J$2:$AE$2</c:f>
              <c:strCach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 rozpočet duben</c:v>
                </c:pt>
                <c:pt idx="5">
                  <c:v>2027 výhled</c:v>
                </c:pt>
                <c:pt idx="6">
                  <c:v>2028 výhled</c:v>
                </c:pt>
                <c:pt idx="7">
                  <c:v>2029 výhled</c:v>
                </c:pt>
                <c:pt idx="8">
                  <c:v>2030 výhled</c:v>
                </c:pt>
                <c:pt idx="9">
                  <c:v>2031 výhled</c:v>
                </c:pt>
              </c:strCache>
            </c:strRef>
          </c:cat>
          <c:val>
            <c:numRef>
              <c:f>'výhled-aktiv '!$J$44:$AE$44</c:f>
              <c:numCache>
                <c:formatCode>#,##0</c:formatCode>
                <c:ptCount val="10"/>
                <c:pt idx="0">
                  <c:v>13180.112949999999</c:v>
                </c:pt>
                <c:pt idx="1">
                  <c:v>20710.476649999997</c:v>
                </c:pt>
                <c:pt idx="2">
                  <c:v>12042.01359</c:v>
                </c:pt>
                <c:pt idx="3">
                  <c:v>12134.72443</c:v>
                </c:pt>
                <c:pt idx="4">
                  <c:v>8832.7244300000002</c:v>
                </c:pt>
                <c:pt idx="5">
                  <c:v>18832.724430000002</c:v>
                </c:pt>
                <c:pt idx="6">
                  <c:v>33832.724430000002</c:v>
                </c:pt>
                <c:pt idx="7">
                  <c:v>50832.724430000002</c:v>
                </c:pt>
                <c:pt idx="8">
                  <c:v>68832.724430000002</c:v>
                </c:pt>
                <c:pt idx="9">
                  <c:v>88832.724430000002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07-48C6-BC29-C76D91C0DF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1"/>
        <c:overlap val="-25"/>
        <c:axId val="140101888"/>
        <c:axId val="140107776"/>
      </c:barChart>
      <c:catAx>
        <c:axId val="14010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0107776"/>
        <c:crosses val="autoZero"/>
        <c:auto val="1"/>
        <c:lblAlgn val="ctr"/>
        <c:lblOffset val="100"/>
        <c:noMultiLvlLbl val="0"/>
      </c:catAx>
      <c:valAx>
        <c:axId val="14010777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1401018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600"/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Finanční kondice samosprávy tvořená  provozním saldem + ve výhledu opravy v tis. Kč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1.3099686291367764E-2"/>
          <c:y val="0.17530700654071621"/>
          <c:w val="0.97788309736693291"/>
          <c:h val="0.51482020759890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'výhled-aktiv '!$C$36</c:f>
              <c:strCache>
                <c:ptCount val="1"/>
                <c:pt idx="0">
                  <c:v>PROVOZNÍ SALDO (POZOR, ve výhledu + opravy)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dLbl>
              <c:idx val="3"/>
              <c:spPr/>
              <c:txPr>
                <a:bodyPr rot="-3180000"/>
                <a:lstStyle/>
                <a:p>
                  <a:pPr>
                    <a:defRPr sz="1600" b="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557-4A78-B0E1-77EBA9A12C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3180000"/>
              <a:lstStyle/>
              <a:p>
                <a:pPr>
                  <a:defRPr/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'výhled-aktiv '!$J$2:$AE$2</c:f>
              <c:strCach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 rozpočet duben</c:v>
                </c:pt>
                <c:pt idx="5">
                  <c:v>2027 výhled</c:v>
                </c:pt>
                <c:pt idx="6">
                  <c:v>2028 výhled</c:v>
                </c:pt>
                <c:pt idx="7">
                  <c:v>2029 výhled</c:v>
                </c:pt>
                <c:pt idx="8">
                  <c:v>2030 výhled</c:v>
                </c:pt>
                <c:pt idx="9">
                  <c:v>2031 výhled</c:v>
                </c:pt>
              </c:strCache>
            </c:strRef>
          </c:cat>
          <c:val>
            <c:numRef>
              <c:f>'výhled-aktiv '!$J$36:$AE$36</c:f>
              <c:numCache>
                <c:formatCode>#,##0</c:formatCode>
                <c:ptCount val="10"/>
                <c:pt idx="0">
                  <c:v>6237.4800000000032</c:v>
                </c:pt>
                <c:pt idx="1">
                  <c:v>14686.039999999997</c:v>
                </c:pt>
                <c:pt idx="2">
                  <c:v>13255.390000000003</c:v>
                </c:pt>
                <c:pt idx="3">
                  <c:v>14143.109999999997</c:v>
                </c:pt>
                <c:pt idx="4">
                  <c:v>9273</c:v>
                </c:pt>
                <c:pt idx="5">
                  <c:v>10000</c:v>
                </c:pt>
                <c:pt idx="6">
                  <c:v>15000</c:v>
                </c:pt>
                <c:pt idx="7">
                  <c:v>17000</c:v>
                </c:pt>
                <c:pt idx="8">
                  <c:v>18000</c:v>
                </c:pt>
                <c:pt idx="9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2E-44E2-A8E0-CD0CB6BDE0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-25"/>
        <c:axId val="140142848"/>
        <c:axId val="140152832"/>
      </c:barChart>
      <c:catAx>
        <c:axId val="14014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0152832"/>
        <c:crosses val="autoZero"/>
        <c:auto val="1"/>
        <c:lblAlgn val="ctr"/>
        <c:lblOffset val="100"/>
        <c:noMultiLvlLbl val="0"/>
      </c:catAx>
      <c:valAx>
        <c:axId val="14015283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1401428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600"/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Splátky dlouhodobých závazků v tis. Kč</a:t>
            </a:r>
          </a:p>
        </c:rich>
      </c:tx>
      <c:layout>
        <c:manualLayout>
          <c:xMode val="edge"/>
          <c:yMode val="edge"/>
          <c:x val="0.18454574449097413"/>
          <c:y val="2.423632406119003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2314061020190424E-2"/>
          <c:y val="0.25033706060206196"/>
          <c:w val="0.9511284475112517"/>
          <c:h val="0.4328855310777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'výhled-aktiv '!$C$38</c:f>
              <c:strCache>
                <c:ptCount val="1"/>
                <c:pt idx="0">
                  <c:v>Uhrazené splátky dlouhodobých přijatých půjčených prostředků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-4.2046014706243213E-3"/>
                  <c:y val="3.46964105060718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48-4F2F-B3AD-6127E3ECCB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3960000"/>
              <a:lstStyle/>
              <a:p>
                <a:pPr>
                  <a:defRPr/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'výhled-aktiv '!$N$2:$AE$2</c:f>
              <c:strCach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 rozpočet duben</c:v>
                </c:pt>
                <c:pt idx="5">
                  <c:v>2027 výhled</c:v>
                </c:pt>
                <c:pt idx="6">
                  <c:v>2028 výhled</c:v>
                </c:pt>
                <c:pt idx="7">
                  <c:v>2029 výhled</c:v>
                </c:pt>
                <c:pt idx="8">
                  <c:v>2030 výhled</c:v>
                </c:pt>
                <c:pt idx="9">
                  <c:v>2031 výhled</c:v>
                </c:pt>
              </c:strCache>
            </c:strRef>
          </c:cat>
          <c:val>
            <c:numRef>
              <c:f>'výhled-aktiv '!$N$38:$AE$38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754.72</c:v>
                </c:pt>
                <c:pt idx="3">
                  <c:v>15954.77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10-424D-8AD0-8CFF8C6073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77"/>
        <c:overlap val="-25"/>
        <c:axId val="140211328"/>
        <c:axId val="140212864"/>
      </c:barChart>
      <c:catAx>
        <c:axId val="14021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0212864"/>
        <c:crosses val="autoZero"/>
        <c:auto val="1"/>
        <c:lblAlgn val="ctr"/>
        <c:lblOffset val="100"/>
        <c:noMultiLvlLbl val="0"/>
      </c:catAx>
      <c:valAx>
        <c:axId val="14021286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1402113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600"/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Finanční kondice </a:t>
            </a:r>
            <a:r>
              <a:rPr lang="en-US"/>
              <a:t>v tis. Kč</a:t>
            </a:r>
          </a:p>
        </c:rich>
      </c:tx>
      <c:layout>
        <c:manualLayout>
          <c:xMode val="edge"/>
          <c:yMode val="edge"/>
          <c:x val="0.3842436014219430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0888004749934803E-2"/>
          <c:y val="0.20773772671555898"/>
          <c:w val="0.89310714558626048"/>
          <c:h val="0.55403403070658397"/>
        </c:manualLayout>
      </c:layout>
      <c:areaChart>
        <c:grouping val="standard"/>
        <c:varyColors val="0"/>
        <c:ser>
          <c:idx val="2"/>
          <c:order val="2"/>
          <c:tx>
            <c:strRef>
              <c:f>Kondice!$A$4</c:f>
              <c:strCache>
                <c:ptCount val="1"/>
                <c:pt idx="0">
                  <c:v>Finanční kondice standard průměru v ČR*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rgbClr val="00B050"/>
              </a:solidFill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cat>
            <c:strRef>
              <c:f>Kondice!$B$1:$Q$1</c:f>
              <c:strCache>
                <c:ptCount val="1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 rozpočet duben</c:v>
                </c:pt>
                <c:pt idx="11">
                  <c:v>2027 výhled</c:v>
                </c:pt>
                <c:pt idx="12">
                  <c:v>2028 výhled</c:v>
                </c:pt>
                <c:pt idx="13">
                  <c:v>2029 výhled</c:v>
                </c:pt>
                <c:pt idx="14">
                  <c:v>2030 výhled</c:v>
                </c:pt>
                <c:pt idx="15">
                  <c:v>2031 výhled</c:v>
                </c:pt>
              </c:strCache>
            </c:strRef>
          </c:cat>
          <c:val>
            <c:numRef>
              <c:f>Kondice!$B$4:$K$4</c:f>
              <c:numCache>
                <c:formatCode>#,##0</c:formatCode>
                <c:ptCount val="10"/>
                <c:pt idx="0">
                  <c:v>6798.5588474951146</c:v>
                </c:pt>
                <c:pt idx="1">
                  <c:v>7569.1228119080033</c:v>
                </c:pt>
                <c:pt idx="2">
                  <c:v>8471.1608669028337</c:v>
                </c:pt>
                <c:pt idx="3">
                  <c:v>9096.1499774918575</c:v>
                </c:pt>
                <c:pt idx="4">
                  <c:v>10015.102031181475</c:v>
                </c:pt>
                <c:pt idx="5">
                  <c:v>10165.118376380518</c:v>
                </c:pt>
                <c:pt idx="6">
                  <c:v>10895.218905567204</c:v>
                </c:pt>
                <c:pt idx="7">
                  <c:v>12606.370967207778</c:v>
                </c:pt>
                <c:pt idx="8">
                  <c:v>14481.370224239345</c:v>
                </c:pt>
                <c:pt idx="9">
                  <c:v>14730.944237554791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98D-486B-95CE-21CE8ABAA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891520"/>
        <c:axId val="86897408"/>
      </c:areaChart>
      <c:barChart>
        <c:barDir val="col"/>
        <c:grouping val="clustered"/>
        <c:varyColors val="0"/>
        <c:ser>
          <c:idx val="1"/>
          <c:order val="1"/>
          <c:tx>
            <c:strRef>
              <c:f>Kondice!$A$3</c:f>
              <c:strCache>
                <c:ptCount val="1"/>
                <c:pt idx="0">
                  <c:v>Splátky dlouhodobých závazků</c:v>
                </c:pt>
              </c:strCache>
            </c:strRef>
          </c:tx>
          <c:spPr>
            <a:solidFill>
              <a:srgbClr val="FF9900"/>
            </a:solidFill>
            <a:ln w="6350">
              <a:solidFill>
                <a:schemeClr val="tx1"/>
              </a:solidFill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cat>
            <c:strRef>
              <c:f>Kondice!$B$1:$Q$1</c:f>
              <c:strCache>
                <c:ptCount val="1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 rozpočet duben</c:v>
                </c:pt>
                <c:pt idx="11">
                  <c:v>2027 výhled</c:v>
                </c:pt>
                <c:pt idx="12">
                  <c:v>2028 výhled</c:v>
                </c:pt>
                <c:pt idx="13">
                  <c:v>2029 výhled</c:v>
                </c:pt>
                <c:pt idx="14">
                  <c:v>2030 výhled</c:v>
                </c:pt>
                <c:pt idx="15">
                  <c:v>2031 výhled</c:v>
                </c:pt>
              </c:strCache>
            </c:strRef>
          </c:cat>
          <c:val>
            <c:numRef>
              <c:f>Kondice!$B$3:$Q$3</c:f>
              <c:numCache>
                <c:formatCode>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754.72</c:v>
                </c:pt>
                <c:pt idx="9">
                  <c:v>15954.77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6C-45FB-8921-B2D16955D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6891520"/>
        <c:axId val="86897408"/>
      </c:barChart>
      <c:lineChart>
        <c:grouping val="standard"/>
        <c:varyColors val="0"/>
        <c:ser>
          <c:idx val="0"/>
          <c:order val="0"/>
          <c:tx>
            <c:strRef>
              <c:f>Kondice!$A$2</c:f>
              <c:strCache>
                <c:ptCount val="1"/>
                <c:pt idx="0">
                  <c:v>Finanční kondice  (provozní saldo + opravy + zřejmé provozní rezervy rozpočtu)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7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Pt>
            <c:idx val="10"/>
            <c:marker>
              <c:symbol val="circle"/>
              <c:size val="7"/>
              <c:spPr>
                <a:gradFill rotWithShape="1">
                  <a:gsLst>
                    <a:gs pos="0">
                      <a:schemeClr val="accent1">
                        <a:shade val="51000"/>
                        <a:satMod val="130000"/>
                      </a:schemeClr>
                    </a:gs>
                    <a:gs pos="80000">
                      <a:schemeClr val="accent1">
                        <a:shade val="93000"/>
                        <a:satMod val="130000"/>
                      </a:schemeClr>
                    </a:gs>
                    <a:gs pos="100000">
                      <a:schemeClr val="accent1"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34925" cap="rnd">
                <a:solidFill>
                  <a:schemeClr val="accent1"/>
                </a:solidFill>
                <a:prstDash val="sysDash"/>
                <a:round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98D-486B-95CE-21CE8ABAA9D9}"/>
              </c:ext>
            </c:extLst>
          </c:dPt>
          <c:dPt>
            <c:idx val="11"/>
            <c:marker>
              <c:symbol val="circle"/>
              <c:size val="7"/>
              <c:spPr>
                <a:gradFill rotWithShape="1">
                  <a:gsLst>
                    <a:gs pos="0">
                      <a:schemeClr val="accent1">
                        <a:shade val="51000"/>
                        <a:satMod val="130000"/>
                      </a:schemeClr>
                    </a:gs>
                    <a:gs pos="80000">
                      <a:schemeClr val="accent1">
                        <a:shade val="93000"/>
                        <a:satMod val="130000"/>
                      </a:schemeClr>
                    </a:gs>
                    <a:gs pos="100000">
                      <a:schemeClr val="accent1"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34925" cap="rnd">
                <a:solidFill>
                  <a:schemeClr val="accent1"/>
                </a:solidFill>
                <a:prstDash val="sysDash"/>
                <a:round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9A0-43CF-B8F1-70851CD21287}"/>
              </c:ext>
            </c:extLst>
          </c:dPt>
          <c:dPt>
            <c:idx val="12"/>
            <c:marker>
              <c:symbol val="circle"/>
              <c:size val="7"/>
              <c:spPr>
                <a:gradFill rotWithShape="1">
                  <a:gsLst>
                    <a:gs pos="0">
                      <a:schemeClr val="accent1">
                        <a:shade val="51000"/>
                        <a:satMod val="130000"/>
                      </a:schemeClr>
                    </a:gs>
                    <a:gs pos="80000">
                      <a:schemeClr val="accent1">
                        <a:shade val="93000"/>
                        <a:satMod val="130000"/>
                      </a:schemeClr>
                    </a:gs>
                    <a:gs pos="100000">
                      <a:schemeClr val="accent1"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34925" cap="rnd">
                <a:solidFill>
                  <a:schemeClr val="accent1"/>
                </a:solidFill>
                <a:prstDash val="sysDash"/>
                <a:round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D9A0-43CF-B8F1-70851CD21287}"/>
              </c:ext>
            </c:extLst>
          </c:dPt>
          <c:dPt>
            <c:idx val="13"/>
            <c:marker>
              <c:symbol val="circle"/>
              <c:size val="7"/>
              <c:spPr>
                <a:gradFill rotWithShape="1">
                  <a:gsLst>
                    <a:gs pos="0">
                      <a:schemeClr val="accent1">
                        <a:shade val="51000"/>
                        <a:satMod val="130000"/>
                      </a:schemeClr>
                    </a:gs>
                    <a:gs pos="80000">
                      <a:schemeClr val="accent1">
                        <a:shade val="93000"/>
                        <a:satMod val="130000"/>
                      </a:schemeClr>
                    </a:gs>
                    <a:gs pos="100000">
                      <a:schemeClr val="accent1"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34925" cap="rnd">
                <a:solidFill>
                  <a:schemeClr val="accent1"/>
                </a:solidFill>
                <a:prstDash val="sysDash"/>
                <a:round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D9A0-43CF-B8F1-70851CD21287}"/>
              </c:ext>
            </c:extLst>
          </c:dPt>
          <c:dPt>
            <c:idx val="14"/>
            <c:marker>
              <c:symbol val="circle"/>
              <c:size val="7"/>
              <c:spPr>
                <a:gradFill rotWithShape="1">
                  <a:gsLst>
                    <a:gs pos="0">
                      <a:schemeClr val="accent1">
                        <a:shade val="51000"/>
                        <a:satMod val="130000"/>
                      </a:schemeClr>
                    </a:gs>
                    <a:gs pos="80000">
                      <a:schemeClr val="accent1">
                        <a:shade val="93000"/>
                        <a:satMod val="130000"/>
                      </a:schemeClr>
                    </a:gs>
                    <a:gs pos="100000">
                      <a:schemeClr val="accent1"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34925" cap="rnd">
                <a:solidFill>
                  <a:schemeClr val="accent1"/>
                </a:solidFill>
                <a:prstDash val="sysDash"/>
                <a:round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9A0-43CF-B8F1-70851CD21287}"/>
              </c:ext>
            </c:extLst>
          </c:dPt>
          <c:dPt>
            <c:idx val="15"/>
            <c:marker>
              <c:symbol val="circle"/>
              <c:size val="7"/>
              <c:spPr>
                <a:gradFill rotWithShape="1">
                  <a:gsLst>
                    <a:gs pos="0">
                      <a:schemeClr val="accent1">
                        <a:shade val="51000"/>
                        <a:satMod val="130000"/>
                      </a:schemeClr>
                    </a:gs>
                    <a:gs pos="80000">
                      <a:schemeClr val="accent1">
                        <a:shade val="93000"/>
                        <a:satMod val="130000"/>
                      </a:schemeClr>
                    </a:gs>
                    <a:gs pos="100000">
                      <a:schemeClr val="accent1"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34925" cap="rnd">
                <a:solidFill>
                  <a:schemeClr val="accent1"/>
                </a:solidFill>
                <a:prstDash val="sysDash"/>
                <a:round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D9A0-43CF-B8F1-70851CD212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Kondice!$B$1:$Q$1</c:f>
              <c:strCache>
                <c:ptCount val="1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 rozpočet duben</c:v>
                </c:pt>
                <c:pt idx="11">
                  <c:v>2027 výhled</c:v>
                </c:pt>
                <c:pt idx="12">
                  <c:v>2028 výhled</c:v>
                </c:pt>
                <c:pt idx="13">
                  <c:v>2029 výhled</c:v>
                </c:pt>
                <c:pt idx="14">
                  <c:v>2030 výhled</c:v>
                </c:pt>
                <c:pt idx="15">
                  <c:v>2031 výhled</c:v>
                </c:pt>
              </c:strCache>
            </c:strRef>
          </c:cat>
          <c:val>
            <c:numRef>
              <c:f>Kondice!$B$2:$Q$2</c:f>
              <c:numCache>
                <c:formatCode>#,##0</c:formatCode>
                <c:ptCount val="16"/>
                <c:pt idx="0">
                  <c:v>6579.8305599999994</c:v>
                </c:pt>
                <c:pt idx="1">
                  <c:v>8066.9625399999995</c:v>
                </c:pt>
                <c:pt idx="2">
                  <c:v>10342.211089999999</c:v>
                </c:pt>
                <c:pt idx="3">
                  <c:v>13084.879270000001</c:v>
                </c:pt>
                <c:pt idx="4">
                  <c:v>9924.3945200000016</c:v>
                </c:pt>
                <c:pt idx="5">
                  <c:v>10888.674149999999</c:v>
                </c:pt>
                <c:pt idx="6">
                  <c:v>11756.302730000003</c:v>
                </c:pt>
                <c:pt idx="7">
                  <c:v>15454.928679999997</c:v>
                </c:pt>
                <c:pt idx="8">
                  <c:v>14219.610380000004</c:v>
                </c:pt>
                <c:pt idx="9">
                  <c:v>15494.595819999997</c:v>
                </c:pt>
                <c:pt idx="10">
                  <c:v>13316</c:v>
                </c:pt>
                <c:pt idx="11">
                  <c:v>10000</c:v>
                </c:pt>
                <c:pt idx="12">
                  <c:v>15000</c:v>
                </c:pt>
                <c:pt idx="13">
                  <c:v>17000</c:v>
                </c:pt>
                <c:pt idx="14">
                  <c:v>18000</c:v>
                </c:pt>
                <c:pt idx="15">
                  <c:v>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C-45FB-8921-B2D16955D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91520"/>
        <c:axId val="86897408"/>
      </c:lineChart>
      <c:catAx>
        <c:axId val="8689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6897408"/>
        <c:crosses val="autoZero"/>
        <c:auto val="1"/>
        <c:lblAlgn val="ctr"/>
        <c:lblOffset val="100"/>
        <c:noMultiLvlLbl val="0"/>
      </c:catAx>
      <c:valAx>
        <c:axId val="8689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6891520"/>
        <c:crosses val="autoZero"/>
        <c:crossBetween val="between"/>
      </c:valAx>
      <c:spPr>
        <a:gradFill flip="none" rotWithShape="1">
          <a:gsLst>
            <a:gs pos="100000">
              <a:schemeClr val="bg1">
                <a:lumMod val="85000"/>
              </a:schemeClr>
            </a:gs>
            <a:gs pos="0">
              <a:schemeClr val="accent1">
                <a:lumMod val="0"/>
                <a:lumOff val="100000"/>
              </a:schemeClr>
            </a:gs>
            <a:gs pos="63000">
              <a:schemeClr val="accent1">
                <a:lumMod val="0"/>
                <a:lumOff val="100000"/>
              </a:schemeClr>
            </a:gs>
            <a:gs pos="100000">
              <a:schemeClr val="bg1">
                <a:lumMod val="65000"/>
              </a:schemeClr>
            </a:gs>
          </a:gsLst>
          <a:path path="circle">
            <a:fillToRect t="100000" r="100000"/>
          </a:path>
          <a:tileRect l="-100000" b="-100000"/>
        </a:gra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3892624938721696E-2"/>
          <c:y val="5.1392031847371247E-2"/>
          <c:w val="0.93856196519153157"/>
          <c:h val="0.15570087050464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Dlouhodobé závazky v tis. Kč</a:t>
            </a:r>
          </a:p>
        </c:rich>
      </c:tx>
      <c:layout>
        <c:manualLayout>
          <c:xMode val="edge"/>
          <c:yMode val="edge"/>
          <c:x val="0.39592958523496663"/>
          <c:y val="5.758708392101099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8008643568383406E-2"/>
          <c:y val="0.36518482462419471"/>
          <c:w val="0.95155285773223919"/>
          <c:h val="0.191385731329038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'výhled-aktiv '!$C$49</c:f>
              <c:strCache>
                <c:ptCount val="1"/>
                <c:pt idx="0">
                  <c:v>Dlouhodobé úvěry a půjčky (splatné dlouhodobé závazky)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effectLst/>
            </c:spPr>
            <c:txPr>
              <a:bodyPr rot="-5400000"/>
              <a:lstStyle/>
              <a:p>
                <a:pPr>
                  <a:defRPr/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'výhled-aktiv '!$N$2:$AE$2</c15:sqref>
                  </c15:fullRef>
                </c:ext>
              </c:extLst>
              <c:f>'výhled-aktiv '!$O$2:$AE$2</c:f>
              <c:strCach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 rozpočet duben</c:v>
                </c:pt>
                <c:pt idx="5">
                  <c:v>2027 výhled</c:v>
                </c:pt>
                <c:pt idx="6">
                  <c:v>2028 výhled</c:v>
                </c:pt>
                <c:pt idx="7">
                  <c:v>2029 výhled</c:v>
                </c:pt>
                <c:pt idx="8">
                  <c:v>2030 výhled</c:v>
                </c:pt>
                <c:pt idx="9">
                  <c:v>2031 výhled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'výhled-aktiv '!$N$49:$AE$49</c15:sqref>
                  </c15:fullRef>
                </c:ext>
              </c:extLst>
              <c:f>'výhled-aktiv '!$O$49:$AE$49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15954.768970000001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68-4D23-8BF5-C0AF876B21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8"/>
        <c:overlap val="3"/>
        <c:axId val="140059392"/>
        <c:axId val="140060928"/>
      </c:barChart>
      <c:catAx>
        <c:axId val="14005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0060928"/>
        <c:crosses val="autoZero"/>
        <c:auto val="1"/>
        <c:lblAlgn val="ctr"/>
        <c:lblOffset val="100"/>
        <c:noMultiLvlLbl val="0"/>
      </c:catAx>
      <c:valAx>
        <c:axId val="14006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1400593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600"/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ZMĚNY BĚŽNÝCH PŘÍJMŮ A VÝDAJŮ V TIS. KČ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'provozni saldo'!$B$15</c:f>
              <c:strCache>
                <c:ptCount val="1"/>
                <c:pt idx="0">
                  <c:v>ZMĚNY BĚŽNÝCH PŘÍJMŮ (tis. Kč)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'provozni saldo'!$I$2:$AA$2</c:f>
              <c:strCache>
                <c:ptCount val="1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 rozpočet duben</c:v>
                </c:pt>
                <c:pt idx="14">
                  <c:v>2027 výhled</c:v>
                </c:pt>
                <c:pt idx="15">
                  <c:v>2028 výhled</c:v>
                </c:pt>
                <c:pt idx="16">
                  <c:v>2029 výhled</c:v>
                </c:pt>
                <c:pt idx="17">
                  <c:v>2030 výhled</c:v>
                </c:pt>
                <c:pt idx="18">
                  <c:v>2031 výhled</c:v>
                </c:pt>
              </c:strCache>
            </c:strRef>
          </c:cat>
          <c:val>
            <c:numRef>
              <c:f>'provozni saldo'!$I$15:$AA$15</c:f>
              <c:numCache>
                <c:formatCode>#,##0</c:formatCode>
                <c:ptCount val="19"/>
                <c:pt idx="0">
                  <c:v>1831.2300000000032</c:v>
                </c:pt>
                <c:pt idx="1">
                  <c:v>911.7599999999984</c:v>
                </c:pt>
                <c:pt idx="2">
                  <c:v>475.59999999999854</c:v>
                </c:pt>
                <c:pt idx="3">
                  <c:v>413.88000000000102</c:v>
                </c:pt>
                <c:pt idx="4">
                  <c:v>1732.5699999999997</c:v>
                </c:pt>
                <c:pt idx="5">
                  <c:v>4663.7099999999991</c:v>
                </c:pt>
                <c:pt idx="6">
                  <c:v>2272.5800000000017</c:v>
                </c:pt>
                <c:pt idx="7">
                  <c:v>-933.43000000000029</c:v>
                </c:pt>
                <c:pt idx="8">
                  <c:v>2682.2999999999993</c:v>
                </c:pt>
                <c:pt idx="9">
                  <c:v>5009.4400000000023</c:v>
                </c:pt>
                <c:pt idx="10">
                  <c:v>5983.8199999999961</c:v>
                </c:pt>
                <c:pt idx="11">
                  <c:v>177.70000000000437</c:v>
                </c:pt>
                <c:pt idx="12">
                  <c:v>1045.5499999999956</c:v>
                </c:pt>
                <c:pt idx="13">
                  <c:v>8225.1900000000023</c:v>
                </c:pt>
                <c:pt idx="14">
                  <c:v>2271</c:v>
                </c:pt>
                <c:pt idx="15">
                  <c:v>2850</c:v>
                </c:pt>
                <c:pt idx="16">
                  <c:v>3200</c:v>
                </c:pt>
                <c:pt idx="17">
                  <c:v>3150</c:v>
                </c:pt>
                <c:pt idx="18">
                  <c:v>3350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1-4E09-982F-CBB0507561D3}"/>
            </c:ext>
          </c:extLst>
        </c:ser>
        <c:ser>
          <c:idx val="1"/>
          <c:order val="1"/>
          <c:tx>
            <c:strRef>
              <c:f>'provozni saldo'!$B$16</c:f>
              <c:strCache>
                <c:ptCount val="1"/>
                <c:pt idx="0">
                  <c:v>ZMĚNY BĚŽNÝCH VÝDAJŮ (tis. Kč)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'provozni saldo'!$I$2:$AA$2</c:f>
              <c:strCache>
                <c:ptCount val="1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 rozpočet duben</c:v>
                </c:pt>
                <c:pt idx="14">
                  <c:v>2027 výhled</c:v>
                </c:pt>
                <c:pt idx="15">
                  <c:v>2028 výhled</c:v>
                </c:pt>
                <c:pt idx="16">
                  <c:v>2029 výhled</c:v>
                </c:pt>
                <c:pt idx="17">
                  <c:v>2030 výhled</c:v>
                </c:pt>
                <c:pt idx="18">
                  <c:v>2031 výhled</c:v>
                </c:pt>
              </c:strCache>
            </c:strRef>
          </c:cat>
          <c:val>
            <c:numRef>
              <c:f>'provozni saldo'!$I$16:$AA$16</c:f>
              <c:numCache>
                <c:formatCode>#,##0</c:formatCode>
                <c:ptCount val="19"/>
                <c:pt idx="0">
                  <c:v>-323.90999999999985</c:v>
                </c:pt>
                <c:pt idx="1">
                  <c:v>-3253.7</c:v>
                </c:pt>
                <c:pt idx="2">
                  <c:v>-4711.9799999999996</c:v>
                </c:pt>
                <c:pt idx="3">
                  <c:v>8737.02</c:v>
                </c:pt>
                <c:pt idx="4">
                  <c:v>438.76000000000022</c:v>
                </c:pt>
                <c:pt idx="5">
                  <c:v>4741.3099999999995</c:v>
                </c:pt>
                <c:pt idx="6">
                  <c:v>-1840.1900000000005</c:v>
                </c:pt>
                <c:pt idx="7">
                  <c:v>2902.25</c:v>
                </c:pt>
                <c:pt idx="8">
                  <c:v>559.54000000000087</c:v>
                </c:pt>
                <c:pt idx="9">
                  <c:v>8549.7599999999984</c:v>
                </c:pt>
                <c:pt idx="10">
                  <c:v>-2464.739999999998</c:v>
                </c:pt>
                <c:pt idx="11">
                  <c:v>1608.3499999999985</c:v>
                </c:pt>
                <c:pt idx="12">
                  <c:v>157.83000000000175</c:v>
                </c:pt>
                <c:pt idx="13">
                  <c:v>13095.3</c:v>
                </c:pt>
                <c:pt idx="14">
                  <c:v>1544</c:v>
                </c:pt>
                <c:pt idx="15">
                  <c:v>-2150</c:v>
                </c:pt>
                <c:pt idx="16">
                  <c:v>1200</c:v>
                </c:pt>
                <c:pt idx="17">
                  <c:v>2150</c:v>
                </c:pt>
                <c:pt idx="18">
                  <c:v>1350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51-4E09-982F-CBB050756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40303360"/>
        <c:axId val="140309248"/>
      </c:barChart>
      <c:catAx>
        <c:axId val="14030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0309248"/>
        <c:crosses val="autoZero"/>
        <c:auto val="1"/>
        <c:lblAlgn val="ctr"/>
        <c:lblOffset val="100"/>
        <c:noMultiLvlLbl val="0"/>
      </c:catAx>
      <c:valAx>
        <c:axId val="1403092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40303360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legend>
      <c:legendPos val="t"/>
      <c:layout>
        <c:manualLayout>
          <c:xMode val="edge"/>
          <c:yMode val="edge"/>
          <c:x val="0.28459060219062732"/>
          <c:y val="8.5498790997581994E-2"/>
          <c:w val="0.61927580386376546"/>
          <c:h val="5.3815074296815334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200"/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06593164006468"/>
          <c:y val="0.13641087341156791"/>
          <c:w val="0.86660685207411869"/>
          <c:h val="0.690362551302752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Limity!$A$2</c:f>
              <c:strCache>
                <c:ptCount val="1"/>
                <c:pt idx="0">
                  <c:v>Stav dluhů dle rozpočtu k 31.12.2026</c:v>
                </c:pt>
              </c:strCache>
            </c:strRef>
          </c:tx>
          <c:spPr>
            <a:solidFill>
              <a:srgbClr val="FF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1"/>
              <c:layout>
                <c:manualLayout>
                  <c:x val="0.13847639071548243"/>
                  <c:y val="-9.2595350582984959E-2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8B-411A-99B5-48F9EFBC6129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Limity!$B$1:$C$1</c:f>
              <c:strCache>
                <c:ptCount val="2"/>
                <c:pt idx="0">
                  <c:v>Vlastní zdroje (jistota)</c:v>
                </c:pt>
                <c:pt idx="1">
                  <c:v>Cizí zdroje (možnost)</c:v>
                </c:pt>
              </c:strCache>
            </c:strRef>
          </c:cat>
          <c:val>
            <c:numRef>
              <c:f>Limity!$B$2:$C$2</c:f>
              <c:numCache>
                <c:formatCode>0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1-486C-A1B2-4AA750E37B81}"/>
            </c:ext>
          </c:extLst>
        </c:ser>
        <c:ser>
          <c:idx val="1"/>
          <c:order val="1"/>
          <c:tx>
            <c:strRef>
              <c:f>Limity!$A$3</c:f>
              <c:strCache>
                <c:ptCount val="1"/>
                <c:pt idx="0">
                  <c:v>Možnost čerpání úvěrů do bezpečného stropu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accent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1"/>
              <c:layout>
                <c:manualLayout>
                  <c:x val="0.14385375845335341"/>
                  <c:y val="-0.27142857142857141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8B-411A-99B5-48F9EFBC6129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Limity!$B$1:$C$1</c:f>
              <c:strCache>
                <c:ptCount val="2"/>
                <c:pt idx="0">
                  <c:v>Vlastní zdroje (jistota)</c:v>
                </c:pt>
                <c:pt idx="1">
                  <c:v>Cizí zdroje (možnost)</c:v>
                </c:pt>
              </c:strCache>
            </c:strRef>
          </c:cat>
          <c:val>
            <c:numRef>
              <c:f>Limity!$B$3:$C$3</c:f>
              <c:numCache>
                <c:formatCode>0</c:formatCode>
                <c:ptCount val="2"/>
                <c:pt idx="1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81-486C-A1B2-4AA750E37B81}"/>
            </c:ext>
          </c:extLst>
        </c:ser>
        <c:ser>
          <c:idx val="2"/>
          <c:order val="2"/>
          <c:tx>
            <c:strRef>
              <c:f>Limity!$A$4</c:f>
              <c:strCache>
                <c:ptCount val="1"/>
                <c:pt idx="0">
                  <c:v>Zbyde po úhradě provozu z běžných příjmů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.16357927566239261"/>
                  <c:y val="6.5096324338009687E-2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8B-411A-99B5-48F9EFBC6129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Limity!$B$1:$C$1</c:f>
              <c:strCache>
                <c:ptCount val="2"/>
                <c:pt idx="0">
                  <c:v>Vlastní zdroje (jistota)</c:v>
                </c:pt>
                <c:pt idx="1">
                  <c:v>Cizí zdroje (možnost)</c:v>
                </c:pt>
              </c:strCache>
            </c:strRef>
          </c:cat>
          <c:val>
            <c:numRef>
              <c:f>Limity!$B$4:$C$4</c:f>
              <c:numCache>
                <c:formatCode>0</c:formatCode>
                <c:ptCount val="2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CE-4478-9370-7ECCEB777CB7}"/>
            </c:ext>
          </c:extLst>
        </c:ser>
        <c:ser>
          <c:idx val="3"/>
          <c:order val="3"/>
          <c:tx>
            <c:strRef>
              <c:f>Limity!$A$5</c:f>
              <c:strCache>
                <c:ptCount val="1"/>
                <c:pt idx="0">
                  <c:v>Plánováno na splátky dluhů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.14373347362106148"/>
                  <c:y val="8.7472710243042401E-2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8B-411A-99B5-48F9EFBC6129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Limity!$B$1:$C$1</c:f>
              <c:strCache>
                <c:ptCount val="2"/>
                <c:pt idx="0">
                  <c:v>Vlastní zdroje (jistota)</c:v>
                </c:pt>
                <c:pt idx="1">
                  <c:v>Cizí zdroje (možnost)</c:v>
                </c:pt>
              </c:strCache>
            </c:strRef>
          </c:cat>
          <c:val>
            <c:numRef>
              <c:f>Limity!$B$5:$C$5</c:f>
              <c:numCache>
                <c:formatCode>0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6-4649-856D-5C2BA1D77389}"/>
            </c:ext>
          </c:extLst>
        </c:ser>
        <c:ser>
          <c:idx val="4"/>
          <c:order val="4"/>
          <c:tx>
            <c:strRef>
              <c:f>Limity!$A$6</c:f>
              <c:strCache>
                <c:ptCount val="1"/>
                <c:pt idx="0">
                  <c:v>Finanční aktiva (krátkodobá likvidní na účtech, fondech atp.)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.15192032434793401"/>
                  <c:y val="-0.1761904761904762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8B-411A-99B5-48F9EFBC6129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Limity!$B$1:$C$1</c:f>
              <c:strCache>
                <c:ptCount val="2"/>
                <c:pt idx="0">
                  <c:v>Vlastní zdroje (jistota)</c:v>
                </c:pt>
                <c:pt idx="1">
                  <c:v>Cizí zdroje (možnost)</c:v>
                </c:pt>
              </c:strCache>
            </c:strRef>
          </c:cat>
          <c:val>
            <c:numRef>
              <c:f>Limity!$B$6:$C$6</c:f>
              <c:numCache>
                <c:formatCode>0</c:formatCode>
                <c:ptCount val="2"/>
                <c:pt idx="0">
                  <c:v>8.8327244300000007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B-411A-99B5-48F9EFBC612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30"/>
        <c:overlap val="100"/>
        <c:axId val="140573696"/>
        <c:axId val="140780288"/>
      </c:barChart>
      <c:catAx>
        <c:axId val="140573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0780288"/>
        <c:crosses val="autoZero"/>
        <c:auto val="1"/>
        <c:lblAlgn val="ctr"/>
        <c:lblOffset val="100"/>
        <c:noMultiLvlLbl val="0"/>
      </c:catAx>
      <c:valAx>
        <c:axId val="1407802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Kč</a:t>
                </a:r>
              </a:p>
            </c:rich>
          </c:tx>
          <c:layout>
            <c:manualLayout>
              <c:xMode val="edge"/>
              <c:yMode val="edge"/>
              <c:x val="1.1698783977464586E-2"/>
              <c:y val="0.30188063836435536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140573696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400"/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b="1" baseline="0"/>
              <a:t>Kolik mil. Kč </a:t>
            </a:r>
            <a:r>
              <a:rPr lang="cs-CZ" b="1"/>
              <a:t>vygeneruje rozpočet na cíle samosprávy po úhradě provozu bez oprav</a:t>
            </a:r>
          </a:p>
          <a:p>
            <a:pPr>
              <a:defRPr b="1"/>
            </a:pPr>
            <a:r>
              <a:rPr lang="cs-CZ"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(zbyde z běžných příjmů po úhradě běžných výdajů bez oprav dle let v mil. Kč)</a:t>
            </a:r>
          </a:p>
        </c:rich>
      </c:tx>
      <c:layout>
        <c:manualLayout>
          <c:xMode val="edge"/>
          <c:yMode val="edge"/>
          <c:x val="0.1123404705372204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7293410715592485E-2"/>
          <c:y val="0.21986906784030685"/>
          <c:w val="0.88758362016817338"/>
          <c:h val="0.390065466079846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Limity!$A$14</c:f>
              <c:strCache>
                <c:ptCount val="1"/>
                <c:pt idx="0">
                  <c:v>Splátky dluhů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Limity!$B$13:$G$13</c15:sqref>
                  </c15:fullRef>
                </c:ext>
              </c:extLst>
              <c:f>Limity!$C$13:$G$13</c:f>
              <c:strCache>
                <c:ptCount val="5"/>
                <c:pt idx="0">
                  <c:v>2027 výhled</c:v>
                </c:pt>
                <c:pt idx="1">
                  <c:v>2028 výhled</c:v>
                </c:pt>
                <c:pt idx="2">
                  <c:v>2029 výhled</c:v>
                </c:pt>
                <c:pt idx="3">
                  <c:v>2030 výhled</c:v>
                </c:pt>
                <c:pt idx="4">
                  <c:v>2031 výhled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Limity!$B$14:$G$14</c15:sqref>
                  </c15:fullRef>
                </c:ext>
              </c:extLst>
              <c:f>Limity!$C$14:$G$14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0-477D-A05B-9CCCC4D42225}"/>
            </c:ext>
          </c:extLst>
        </c:ser>
        <c:ser>
          <c:idx val="1"/>
          <c:order val="1"/>
          <c:tx>
            <c:strRef>
              <c:f>Limity!$A$15</c:f>
              <c:strCache>
                <c:ptCount val="1"/>
                <c:pt idx="0">
                  <c:v>Zbývá z provozního salda + opravy po úhradě splátek dluhů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accent1"/>
              </a:solidFill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4.9246486976012126E-17"/>
                  <c:y val="-1.06850034606181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A1-4B64-B1AB-17221E47BA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Limity!$B$13:$G$13</c15:sqref>
                  </c15:fullRef>
                </c:ext>
              </c:extLst>
              <c:f>Limity!$C$13:$G$13</c:f>
              <c:strCache>
                <c:ptCount val="5"/>
                <c:pt idx="0">
                  <c:v>2027 výhled</c:v>
                </c:pt>
                <c:pt idx="1">
                  <c:v>2028 výhled</c:v>
                </c:pt>
                <c:pt idx="2">
                  <c:v>2029 výhled</c:v>
                </c:pt>
                <c:pt idx="3">
                  <c:v>2030 výhled</c:v>
                </c:pt>
                <c:pt idx="4">
                  <c:v>2031 výhled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Limity!$B$15:$G$15</c15:sqref>
                  </c15:fullRef>
                </c:ext>
              </c:extLst>
              <c:f>Limity!$C$15:$G$15</c:f>
              <c:numCache>
                <c:formatCode>0</c:formatCode>
                <c:ptCount val="5"/>
                <c:pt idx="0">
                  <c:v>10</c:v>
                </c:pt>
                <c:pt idx="1">
                  <c:v>15</c:v>
                </c:pt>
                <c:pt idx="2">
                  <c:v>17</c:v>
                </c:pt>
                <c:pt idx="3">
                  <c:v>18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50-477D-A05B-9CCCC4D422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0833920"/>
        <c:axId val="140835456"/>
      </c:barChart>
      <c:catAx>
        <c:axId val="14083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0835456"/>
        <c:crosses val="autoZero"/>
        <c:auto val="1"/>
        <c:lblAlgn val="ctr"/>
        <c:lblOffset val="100"/>
        <c:noMultiLvlLbl val="0"/>
      </c:catAx>
      <c:valAx>
        <c:axId val="14083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mil. Kč</a:t>
                </a:r>
              </a:p>
            </c:rich>
          </c:tx>
          <c:layout>
            <c:manualLayout>
              <c:xMode val="edge"/>
              <c:yMode val="edge"/>
              <c:x val="8.2488922452185649E-3"/>
              <c:y val="0.356820264362831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08339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Předpokládané celkové finanční možnosti </a:t>
            </a:r>
            <a:r>
              <a:rPr lang="cs-CZ" b="1"/>
              <a:t>samosprávy </a:t>
            </a:r>
            <a:r>
              <a:rPr lang="en-US" b="1"/>
              <a:t>na</a:t>
            </a:r>
            <a:r>
              <a:rPr lang="cs-CZ" b="1"/>
              <a:t> 5 let </a:t>
            </a:r>
            <a:r>
              <a:rPr lang="en-US" b="1"/>
              <a:t>v mil. Kč</a:t>
            </a:r>
            <a:r>
              <a:rPr lang="cs-CZ" b="1"/>
              <a:t>                                                          </a:t>
            </a:r>
            <a:r>
              <a:rPr lang="en-US" b="0"/>
              <a:t>(od r. 20</a:t>
            </a:r>
            <a:r>
              <a:rPr lang="cs-CZ" b="0"/>
              <a:t>27</a:t>
            </a:r>
            <a:r>
              <a:rPr lang="en-US" b="0"/>
              <a:t> do r. 20</a:t>
            </a:r>
            <a:r>
              <a:rPr lang="cs-CZ" b="0"/>
              <a:t>31, pozn. navazuje na rozpočet 2026</a:t>
            </a:r>
            <a:r>
              <a:rPr lang="en-US" b="0"/>
              <a:t>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6045614524436291"/>
          <c:y val="0.28484166452761689"/>
          <c:w val="0.36642528947725672"/>
          <c:h val="0.60570670771645552"/>
        </c:manualLayout>
      </c:layout>
      <c:pieChart>
        <c:varyColors val="1"/>
        <c:ser>
          <c:idx val="0"/>
          <c:order val="0"/>
          <c:tx>
            <c:strRef>
              <c:f>Limity!$A$10</c:f>
              <c:strCache>
                <c:ptCount val="1"/>
                <c:pt idx="0">
                  <c:v>Předpokládané celkové finanční možnosti samosprávy na 4 roky v mil. Kč (od r. 2019 do r. 2022)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dPt>
            <c:idx val="0"/>
            <c:bubble3D val="0"/>
            <c:explosion val="6"/>
            <c:spPr>
              <a:solidFill>
                <a:srgbClr val="92D050"/>
              </a:solidFill>
              <a:ln w="19050">
                <a:solidFill>
                  <a:schemeClr val="tx1"/>
                </a:solidFill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E7A-46F2-99DD-CEB1621687ED}"/>
              </c:ext>
            </c:extLst>
          </c:dPt>
          <c:dPt>
            <c:idx val="1"/>
            <c:bubble3D val="0"/>
            <c:explosion val="16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E7A-46F2-99DD-CEB1621687ED}"/>
              </c:ext>
            </c:extLst>
          </c:dPt>
          <c:dPt>
            <c:idx val="2"/>
            <c:bubble3D val="0"/>
            <c:explosion val="13"/>
            <c:spPr>
              <a:solidFill>
                <a:srgbClr val="92D050"/>
              </a:solidFill>
              <a:ln w="19050">
                <a:solidFill>
                  <a:schemeClr val="tx1"/>
                </a:solidFill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116-4B78-8F66-A67F511EC530}"/>
              </c:ext>
            </c:extLst>
          </c:dPt>
          <c:dPt>
            <c:idx val="3"/>
            <c:bubble3D val="0"/>
            <c:explosion val="6"/>
            <c:spPr>
              <a:solidFill>
                <a:srgbClr val="FFC000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E7A-46F2-99DD-CEB1621687ED}"/>
              </c:ext>
            </c:extLst>
          </c:dPt>
          <c:dPt>
            <c:idx val="4"/>
            <c:bubble3D val="0"/>
            <c:explosion val="4"/>
            <c:spPr>
              <a:solidFill>
                <a:srgbClr val="FF0000"/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DA6E-461C-936A-1918D7D6DD23}"/>
              </c:ext>
            </c:extLst>
          </c:dPt>
          <c:dLbls>
            <c:dLbl>
              <c:idx val="0"/>
              <c:layout>
                <c:manualLayout>
                  <c:x val="-9.0793961229716259E-3"/>
                  <c:y val="5.640880108406402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734041759253344"/>
                      <c:h val="0.219586000263149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E7A-46F2-99DD-CEB1621687ED}"/>
                </c:ext>
              </c:extLst>
            </c:dLbl>
            <c:dLbl>
              <c:idx val="1"/>
              <c:layout>
                <c:manualLayout>
                  <c:x val="3.8194681008812885E-3"/>
                  <c:y val="2.415586634613920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0629682223615"/>
                      <c:h val="0.129111842830837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E7A-46F2-99DD-CEB1621687ED}"/>
                </c:ext>
              </c:extLst>
            </c:dLbl>
            <c:dLbl>
              <c:idx val="2"/>
              <c:layout>
                <c:manualLayout>
                  <c:x val="4.9361125917257463E-2"/>
                  <c:y val="0.20072609281875259"/>
                </c:manualLayout>
              </c:layout>
              <c:spPr>
                <a:ln>
                  <a:noFill/>
                </a:ln>
              </c:spPr>
              <c:txPr>
                <a:bodyPr rot="0" vert="horz" lIns="38100" tIns="19050" rIns="38100" bIns="19050">
                  <a:noAutofit/>
                </a:bodyPr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165361435549437"/>
                      <c:h val="0.196839622062781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116-4B78-8F66-A67F511EC530}"/>
                </c:ext>
              </c:extLst>
            </c:dLbl>
            <c:dLbl>
              <c:idx val="3"/>
              <c:layout>
                <c:manualLayout>
                  <c:x val="2.9972276882506883E-2"/>
                  <c:y val="-5.908396336377893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509331336875243"/>
                      <c:h val="0.179489083303824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E7A-46F2-99DD-CEB1621687ED}"/>
                </c:ext>
              </c:extLst>
            </c:dLbl>
            <c:dLbl>
              <c:idx val="4"/>
              <c:layout>
                <c:manualLayout>
                  <c:x val="-4.4933492571767507E-2"/>
                  <c:y val="-3.72402763280546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726234203073311"/>
                      <c:h val="0.269428879224777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DA6E-461C-936A-1918D7D6DD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>
                  <a:solidFill>
                    <a:schemeClr val="tx1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Limity!$B$9:$F$9</c:f>
              <c:strCache>
                <c:ptCount val="5"/>
                <c:pt idx="0">
                  <c:v>Provozní saldo po úhradě splátek dluhů + opravy</c:v>
                </c:pt>
                <c:pt idx="1">
                  <c:v>Plánováno na splátky dluhů</c:v>
                </c:pt>
                <c:pt idx="2">
                  <c:v>Krátkodobý likvidní finanční majetek zústatek dle rozpočtu 2025</c:v>
                </c:pt>
                <c:pt idx="3">
                  <c:v>Možný úvěr do bezpečného limitu</c:v>
                </c:pt>
                <c:pt idx="4">
                  <c:v>Stav dluhů dle rozpočtu k 31.12.2026</c:v>
                </c:pt>
              </c:strCache>
            </c:strRef>
          </c:cat>
          <c:val>
            <c:numRef>
              <c:f>Limity!$B$10:$F$10</c:f>
              <c:numCache>
                <c:formatCode>0</c:formatCode>
                <c:ptCount val="5"/>
                <c:pt idx="0">
                  <c:v>80</c:v>
                </c:pt>
                <c:pt idx="1">
                  <c:v>0</c:v>
                </c:pt>
                <c:pt idx="2">
                  <c:v>8.8327244300000007</c:v>
                </c:pt>
                <c:pt idx="3">
                  <c:v>120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A-46F2-99DD-CEB162168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55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39657184584719"/>
          <c:y val="6.6908125130990453E-2"/>
          <c:w val="0.75916469388479269"/>
          <c:h val="0.68679324876595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'provozni saldo'!$B$5</c:f>
              <c:strCache>
                <c:ptCount val="1"/>
                <c:pt idx="0">
                  <c:v>PROVOZNÍ SALDO (tis. Kč)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6350">
              <a:solidFill>
                <a:schemeClr val="tx1"/>
              </a:solidFill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cat>
            <c:strRef>
              <c:f>'provozni saldo'!$C$2:$AA$2</c:f>
              <c:strCache>
                <c:ptCount val="2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 rozpočet duben</c:v>
                </c:pt>
                <c:pt idx="20">
                  <c:v>2027 výhled</c:v>
                </c:pt>
                <c:pt idx="21">
                  <c:v>2028 výhled</c:v>
                </c:pt>
                <c:pt idx="22">
                  <c:v>2029 výhled</c:v>
                </c:pt>
                <c:pt idx="23">
                  <c:v>2030 výhled</c:v>
                </c:pt>
                <c:pt idx="24">
                  <c:v>2031 výhled</c:v>
                </c:pt>
              </c:strCache>
            </c:strRef>
          </c:cat>
          <c:val>
            <c:numRef>
              <c:f>'provozni saldo'!$C$5:$AA$5</c:f>
              <c:numCache>
                <c:formatCode>#,##0</c:formatCode>
                <c:ptCount val="25"/>
                <c:pt idx="0">
                  <c:v>2573.3700000000008</c:v>
                </c:pt>
                <c:pt idx="1">
                  <c:v>3126.59</c:v>
                </c:pt>
                <c:pt idx="2">
                  <c:v>-18.219999999999345</c:v>
                </c:pt>
                <c:pt idx="3">
                  <c:v>1887.2599999999984</c:v>
                </c:pt>
                <c:pt idx="4">
                  <c:v>2289.9299999999985</c:v>
                </c:pt>
                <c:pt idx="5">
                  <c:v>2976.6999999999989</c:v>
                </c:pt>
                <c:pt idx="6">
                  <c:v>5131.840000000002</c:v>
                </c:pt>
                <c:pt idx="7">
                  <c:v>9297.2999999999993</c:v>
                </c:pt>
                <c:pt idx="8">
                  <c:v>14484.88</c:v>
                </c:pt>
                <c:pt idx="9">
                  <c:v>6161.74</c:v>
                </c:pt>
                <c:pt idx="10">
                  <c:v>7455.5499999999993</c:v>
                </c:pt>
                <c:pt idx="11">
                  <c:v>7377.9499999999989</c:v>
                </c:pt>
                <c:pt idx="12">
                  <c:v>11490.720000000001</c:v>
                </c:pt>
                <c:pt idx="13">
                  <c:v>7655.0400000000009</c:v>
                </c:pt>
                <c:pt idx="14">
                  <c:v>9777.7999999999993</c:v>
                </c:pt>
                <c:pt idx="15">
                  <c:v>6237.4800000000032</c:v>
                </c:pt>
                <c:pt idx="16">
                  <c:v>14686.039999999997</c:v>
                </c:pt>
                <c:pt idx="17">
                  <c:v>13255.390000000003</c:v>
                </c:pt>
                <c:pt idx="18">
                  <c:v>14143.109999999997</c:v>
                </c:pt>
                <c:pt idx="19">
                  <c:v>9273</c:v>
                </c:pt>
                <c:pt idx="20">
                  <c:v>10000</c:v>
                </c:pt>
                <c:pt idx="21">
                  <c:v>15000</c:v>
                </c:pt>
                <c:pt idx="22">
                  <c:v>17000</c:v>
                </c:pt>
                <c:pt idx="23">
                  <c:v>18000</c:v>
                </c:pt>
                <c:pt idx="24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F-4AB4-A723-3CEA306E2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3"/>
        <c:axId val="138950528"/>
        <c:axId val="138952064"/>
      </c:barChart>
      <c:lineChart>
        <c:grouping val="standard"/>
        <c:varyColors val="0"/>
        <c:ser>
          <c:idx val="3"/>
          <c:order val="1"/>
          <c:tx>
            <c:strRef>
              <c:f>'provozni saldo'!$B$9</c:f>
              <c:strCache>
                <c:ptCount val="1"/>
                <c:pt idx="0">
                  <c:v>Stav na bankovních účtech (tis. Kč)</c:v>
                </c:pt>
              </c:strCache>
            </c:strRef>
          </c:tx>
          <c:marker>
            <c:symbol val="none"/>
          </c:marker>
          <c:cat>
            <c:strRef>
              <c:f>'provozni saldo'!$C$2:$AA$2</c:f>
              <c:strCache>
                <c:ptCount val="2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 rozpočet duben</c:v>
                </c:pt>
                <c:pt idx="20">
                  <c:v>2027 výhled</c:v>
                </c:pt>
                <c:pt idx="21">
                  <c:v>2028 výhled</c:v>
                </c:pt>
                <c:pt idx="22">
                  <c:v>2029 výhled</c:v>
                </c:pt>
                <c:pt idx="23">
                  <c:v>2030 výhled</c:v>
                </c:pt>
                <c:pt idx="24">
                  <c:v>2031 výhled</c:v>
                </c:pt>
              </c:strCache>
            </c:strRef>
          </c:cat>
          <c:val>
            <c:numRef>
              <c:f>'provozni saldo'!$C$9:$AA$9</c:f>
              <c:numCache>
                <c:formatCode>#,##0</c:formatCode>
                <c:ptCount val="25"/>
                <c:pt idx="0">
                  <c:v>6084.13</c:v>
                </c:pt>
                <c:pt idx="1">
                  <c:v>8045.57</c:v>
                </c:pt>
                <c:pt idx="2">
                  <c:v>14856.16</c:v>
                </c:pt>
                <c:pt idx="3">
                  <c:v>15783.4</c:v>
                </c:pt>
                <c:pt idx="4">
                  <c:v>17191</c:v>
                </c:pt>
                <c:pt idx="5">
                  <c:v>18473.39</c:v>
                </c:pt>
                <c:pt idx="6">
                  <c:v>22564.251800000002</c:v>
                </c:pt>
                <c:pt idx="7">
                  <c:v>23830.419449999998</c:v>
                </c:pt>
                <c:pt idx="8">
                  <c:v>15374.77824</c:v>
                </c:pt>
                <c:pt idx="9">
                  <c:v>20688.119190000001</c:v>
                </c:pt>
                <c:pt idx="10">
                  <c:v>26077.906429999999</c:v>
                </c:pt>
                <c:pt idx="11">
                  <c:v>28284.134289999998</c:v>
                </c:pt>
                <c:pt idx="12">
                  <c:v>49917.503960000002</c:v>
                </c:pt>
                <c:pt idx="13">
                  <c:v>29917.509959999999</c:v>
                </c:pt>
                <c:pt idx="14">
                  <c:v>14204.01964</c:v>
                </c:pt>
                <c:pt idx="15">
                  <c:v>13180.112949999999</c:v>
                </c:pt>
                <c:pt idx="16">
                  <c:v>20710.476649999997</c:v>
                </c:pt>
                <c:pt idx="17">
                  <c:v>12042.01359</c:v>
                </c:pt>
                <c:pt idx="18">
                  <c:v>12134.72443</c:v>
                </c:pt>
                <c:pt idx="19">
                  <c:v>8832.7244300000002</c:v>
                </c:pt>
                <c:pt idx="20">
                  <c:v>18832.724430000002</c:v>
                </c:pt>
                <c:pt idx="21">
                  <c:v>33832.724430000002</c:v>
                </c:pt>
                <c:pt idx="22">
                  <c:v>50832.724430000002</c:v>
                </c:pt>
                <c:pt idx="23">
                  <c:v>68832.724430000002</c:v>
                </c:pt>
                <c:pt idx="24">
                  <c:v>88832.724430000002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F-4AB4-A723-3CEA306E2885}"/>
            </c:ext>
          </c:extLst>
        </c:ser>
        <c:ser>
          <c:idx val="2"/>
          <c:order val="2"/>
          <c:tx>
            <c:strRef>
              <c:f>'provozni saldo'!$B$8</c:f>
              <c:strCache>
                <c:ptCount val="1"/>
                <c:pt idx="0">
                  <c:v>Zbývá po uhrazení splátek úvěrů (tis. Kč)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bg1"/>
              </a:solidFill>
              <a:ln w="47625">
                <a:solidFill>
                  <a:srgbClr val="FF0000"/>
                </a:solidFill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'provozni saldo'!$C$2:$P$2</c:f>
              <c:numCache>
                <c:formatCode>0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'provozni saldo'!$C$8:$AA$8</c:f>
              <c:numCache>
                <c:formatCode>#,##0</c:formatCode>
                <c:ptCount val="25"/>
                <c:pt idx="0">
                  <c:v>2573.3700000000008</c:v>
                </c:pt>
                <c:pt idx="1">
                  <c:v>3126.59</c:v>
                </c:pt>
                <c:pt idx="2">
                  <c:v>-18.219999999999345</c:v>
                </c:pt>
                <c:pt idx="3">
                  <c:v>1887.2599999999984</c:v>
                </c:pt>
                <c:pt idx="4">
                  <c:v>2289.9299999999985</c:v>
                </c:pt>
                <c:pt idx="5">
                  <c:v>2976.6999999999989</c:v>
                </c:pt>
                <c:pt idx="6">
                  <c:v>5131.840000000002</c:v>
                </c:pt>
                <c:pt idx="7">
                  <c:v>9297.2999999999993</c:v>
                </c:pt>
                <c:pt idx="8">
                  <c:v>14484.88</c:v>
                </c:pt>
                <c:pt idx="9">
                  <c:v>6161.74</c:v>
                </c:pt>
                <c:pt idx="10">
                  <c:v>7455.5499999999993</c:v>
                </c:pt>
                <c:pt idx="11">
                  <c:v>7377.9499999999989</c:v>
                </c:pt>
                <c:pt idx="12">
                  <c:v>11490.720000000001</c:v>
                </c:pt>
                <c:pt idx="13">
                  <c:v>7655.0400000000009</c:v>
                </c:pt>
                <c:pt idx="14">
                  <c:v>9777.7999999999993</c:v>
                </c:pt>
                <c:pt idx="15">
                  <c:v>6237.4800000000032</c:v>
                </c:pt>
                <c:pt idx="16">
                  <c:v>14686.039999999997</c:v>
                </c:pt>
                <c:pt idx="17">
                  <c:v>12500.670000000004</c:v>
                </c:pt>
                <c:pt idx="18">
                  <c:v>-1811.6600000000035</c:v>
                </c:pt>
                <c:pt idx="19">
                  <c:v>9273</c:v>
                </c:pt>
                <c:pt idx="20">
                  <c:v>10000</c:v>
                </c:pt>
                <c:pt idx="21">
                  <c:v>15000</c:v>
                </c:pt>
                <c:pt idx="22">
                  <c:v>17000</c:v>
                </c:pt>
                <c:pt idx="23">
                  <c:v>18000</c:v>
                </c:pt>
                <c:pt idx="24">
                  <c:v>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3F-4AB4-A723-3CEA306E2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950528"/>
        <c:axId val="138952064"/>
      </c:lineChart>
      <c:lineChart>
        <c:grouping val="standard"/>
        <c:varyColors val="0"/>
        <c:ser>
          <c:idx val="1"/>
          <c:order val="3"/>
          <c:tx>
            <c:strRef>
              <c:f>'provozni saldo'!$B$6</c:f>
              <c:strCache>
                <c:ptCount val="1"/>
                <c:pt idx="0">
                  <c:v>% Podíl provozního salda na běžných příjmech</c:v>
                </c:pt>
              </c:strCache>
            </c:strRef>
          </c:tx>
          <c:spPr>
            <a:ln w="34925">
              <a:solidFill>
                <a:prstClr val="black"/>
              </a:solidFill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'provozni saldo'!$C$2:$AA$2</c:f>
              <c:strCache>
                <c:ptCount val="2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 rozpočet duben</c:v>
                </c:pt>
                <c:pt idx="20">
                  <c:v>2027 výhled</c:v>
                </c:pt>
                <c:pt idx="21">
                  <c:v>2028 výhled</c:v>
                </c:pt>
                <c:pt idx="22">
                  <c:v>2029 výhled</c:v>
                </c:pt>
                <c:pt idx="23">
                  <c:v>2030 výhled</c:v>
                </c:pt>
                <c:pt idx="24">
                  <c:v>2031 výhled</c:v>
                </c:pt>
              </c:strCache>
            </c:strRef>
          </c:cat>
          <c:val>
            <c:numRef>
              <c:f>'provozni saldo'!$C$6:$AA$6</c:f>
              <c:numCache>
                <c:formatCode>0%</c:formatCode>
                <c:ptCount val="25"/>
                <c:pt idx="0">
                  <c:v>0.23079696464462116</c:v>
                </c:pt>
                <c:pt idx="1">
                  <c:v>0.28478145826862594</c:v>
                </c:pt>
                <c:pt idx="2">
                  <c:v>-1.3786058829092476E-3</c:v>
                </c:pt>
                <c:pt idx="3">
                  <c:v>0.1660477028833065</c:v>
                </c:pt>
                <c:pt idx="4">
                  <c:v>0.19738053371948686</c:v>
                </c:pt>
                <c:pt idx="5">
                  <c:v>0.23062500484229603</c:v>
                </c:pt>
                <c:pt idx="6">
                  <c:v>0.34819684455430172</c:v>
                </c:pt>
                <c:pt idx="7">
                  <c:v>0.59407326092054413</c:v>
                </c:pt>
                <c:pt idx="8">
                  <c:v>0.89824869509459748</c:v>
                </c:pt>
                <c:pt idx="9">
                  <c:v>0.37254535637867248</c:v>
                </c:pt>
                <c:pt idx="10">
                  <c:v>0.40802828787432666</c:v>
                </c:pt>
                <c:pt idx="11">
                  <c:v>0.32167763566643481</c:v>
                </c:pt>
                <c:pt idx="12">
                  <c:v>0.45582846690571371</c:v>
                </c:pt>
                <c:pt idx="13">
                  <c:v>0.31534665293511849</c:v>
                </c:pt>
                <c:pt idx="14">
                  <c:v>0.36271436679489411</c:v>
                </c:pt>
                <c:pt idx="15">
                  <c:v>0.19512405706681391</c:v>
                </c:pt>
                <c:pt idx="16">
                  <c:v>0.38697821586822428</c:v>
                </c:pt>
                <c:pt idx="17">
                  <c:v>0.34765263350596126</c:v>
                </c:pt>
                <c:pt idx="18">
                  <c:v>0.36103483424257171</c:v>
                </c:pt>
                <c:pt idx="19">
                  <c:v>0.1956370387560919</c:v>
                </c:pt>
                <c:pt idx="20">
                  <c:v>0.20132876988121604</c:v>
                </c:pt>
                <c:pt idx="21">
                  <c:v>0.28560548362528559</c:v>
                </c:pt>
                <c:pt idx="22">
                  <c:v>0.30509691313711412</c:v>
                </c:pt>
                <c:pt idx="23">
                  <c:v>0.30575845082384917</c:v>
                </c:pt>
                <c:pt idx="24">
                  <c:v>0.32144005143040821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3F-4AB4-A723-3CEA306E2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968064"/>
        <c:axId val="138966528"/>
      </c:lineChart>
      <c:catAx>
        <c:axId val="1389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952064"/>
        <c:crosses val="autoZero"/>
        <c:auto val="1"/>
        <c:lblAlgn val="ctr"/>
        <c:lblOffset val="100"/>
        <c:noMultiLvlLbl val="0"/>
      </c:catAx>
      <c:valAx>
        <c:axId val="1389520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tis. Kč</a:t>
                </a:r>
              </a:p>
            </c:rich>
          </c:tx>
          <c:layout>
            <c:manualLayout>
              <c:xMode val="edge"/>
              <c:yMode val="edge"/>
              <c:x val="0.12298361458576865"/>
              <c:y val="0.3168336838614085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8950528"/>
        <c:crosses val="autoZero"/>
        <c:crossBetween val="between"/>
      </c:valAx>
      <c:valAx>
        <c:axId val="13896652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138968064"/>
        <c:crosses val="max"/>
        <c:crossBetween val="between"/>
      </c:valAx>
      <c:catAx>
        <c:axId val="138968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896652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1200"/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239376002316823"/>
          <c:y val="3.4857068705565895E-2"/>
          <c:w val="0.66729253127728461"/>
          <c:h val="0.6515864474473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'provozni saldo'!$B$3</c:f>
              <c:strCache>
                <c:ptCount val="1"/>
                <c:pt idx="0">
                  <c:v>Běžné příjmy (včetně neinvestičních dotací)</c:v>
                </c:pt>
              </c:strCache>
            </c:strRef>
          </c:tx>
          <c:invertIfNegative val="0"/>
          <c:cat>
            <c:numRef>
              <c:f>'provozni saldo'!$J$2:$P$2</c:f>
              <c:numCache>
                <c:formatCode>0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'provozni saldo'!$J$3:$P$3</c:f>
              <c:numCache>
                <c:formatCode>#,##0</c:formatCode>
                <c:ptCount val="7"/>
                <c:pt idx="0">
                  <c:v>15650.09</c:v>
                </c:pt>
                <c:pt idx="1">
                  <c:v>16125.689999999999</c:v>
                </c:pt>
                <c:pt idx="2">
                  <c:v>16539.57</c:v>
                </c:pt>
                <c:pt idx="3">
                  <c:v>18272.14</c:v>
                </c:pt>
                <c:pt idx="4">
                  <c:v>22935.85</c:v>
                </c:pt>
                <c:pt idx="5">
                  <c:v>25208.43</c:v>
                </c:pt>
                <c:pt idx="6">
                  <c:v>24275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8E-4F4A-AB4D-7028681FF0BD}"/>
            </c:ext>
          </c:extLst>
        </c:ser>
        <c:ser>
          <c:idx val="1"/>
          <c:order val="1"/>
          <c:tx>
            <c:strRef>
              <c:f>'provozni saldo'!$B$5</c:f>
              <c:strCache>
                <c:ptCount val="1"/>
                <c:pt idx="0">
                  <c:v>PROVOZNÍ SALDO (tis. Kč)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'provozni saldo'!$J$2:$P$2</c:f>
              <c:numCache>
                <c:formatCode>0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'provozni saldo'!$J$5:$P$5</c:f>
              <c:numCache>
                <c:formatCode>#,##0</c:formatCode>
                <c:ptCount val="7"/>
                <c:pt idx="0">
                  <c:v>9297.2999999999993</c:v>
                </c:pt>
                <c:pt idx="1">
                  <c:v>14484.88</c:v>
                </c:pt>
                <c:pt idx="2">
                  <c:v>6161.74</c:v>
                </c:pt>
                <c:pt idx="3">
                  <c:v>7455.5499999999993</c:v>
                </c:pt>
                <c:pt idx="4">
                  <c:v>7377.9499999999989</c:v>
                </c:pt>
                <c:pt idx="5">
                  <c:v>11490.720000000001</c:v>
                </c:pt>
                <c:pt idx="6">
                  <c:v>7655.0400000000009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8E-4F4A-AB4D-7028681FF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1"/>
        <c:axId val="138814592"/>
        <c:axId val="138816128"/>
      </c:barChart>
      <c:lineChart>
        <c:grouping val="stacked"/>
        <c:varyColors val="0"/>
        <c:ser>
          <c:idx val="2"/>
          <c:order val="2"/>
          <c:tx>
            <c:strRef>
              <c:f>'provozni saldo'!$B$11</c:f>
              <c:strCache>
                <c:ptCount val="1"/>
                <c:pt idx="0">
                  <c:v>Stavby (tis. Kč)</c:v>
                </c:pt>
              </c:strCache>
            </c:strRef>
          </c:tx>
          <c:spPr>
            <a:ln>
              <a:solidFill>
                <a:schemeClr val="tx1"/>
              </a:solidFill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numRef>
              <c:f>'provozni saldo'!$J$2:$P$2</c:f>
              <c:numCache>
                <c:formatCode>0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'provozni saldo'!$J$11:$P$11</c:f>
              <c:numCache>
                <c:formatCode>#,##0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8E-4F4A-AB4D-7028681FF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14592"/>
        <c:axId val="138816128"/>
      </c:lineChart>
      <c:catAx>
        <c:axId val="13881459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38816128"/>
        <c:crosses val="autoZero"/>
        <c:auto val="1"/>
        <c:lblAlgn val="ctr"/>
        <c:lblOffset val="100"/>
        <c:noMultiLvlLbl val="0"/>
      </c:catAx>
      <c:valAx>
        <c:axId val="1388161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tis. Kč</a:t>
                </a:r>
              </a:p>
            </c:rich>
          </c:tx>
          <c:layout>
            <c:manualLayout>
              <c:xMode val="edge"/>
              <c:yMode val="edge"/>
              <c:x val="2.1550515635037931E-2"/>
              <c:y val="0.4279744072506626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88145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zero"/>
    <c:showDLblsOverMax val="0"/>
  </c:chart>
  <c:txPr>
    <a:bodyPr/>
    <a:lstStyle/>
    <a:p>
      <a:pPr>
        <a:defRPr sz="1400"/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Okamžitý finanční potenciál samosprávy v tis. Kč</a:t>
            </a:r>
          </a:p>
          <a:p>
            <a:pPr>
              <a:defRPr sz="1200"/>
            </a:pPr>
            <a:r>
              <a:rPr lang="en-US" sz="1200" b="0"/>
              <a:t>(Provozní saldo</a:t>
            </a:r>
            <a:r>
              <a:rPr lang="cs-CZ" sz="1200" b="0"/>
              <a:t> po úhradě splátek úvěrů + stav na bankovních účtech ke konci předchozího roku</a:t>
            </a:r>
            <a:r>
              <a:rPr lang="en-US" sz="1200" b="0"/>
              <a:t>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444960695830761E-2"/>
          <c:y val="0.18831549570569095"/>
          <c:w val="0.88348016291329257"/>
          <c:h val="0.64414149071838411"/>
        </c:manualLayout>
      </c:layout>
      <c:lineChart>
        <c:grouping val="standard"/>
        <c:varyColors val="0"/>
        <c:ser>
          <c:idx val="0"/>
          <c:order val="0"/>
          <c:tx>
            <c:strRef>
              <c:f>'provozni saldo'!$B$10</c:f>
              <c:strCache>
                <c:ptCount val="1"/>
                <c:pt idx="0">
                  <c:v>Provozní saldo po úhradě splátek úvěrů + stav na bankovních účtech předchozího roku (tis. Kč)</c:v>
                </c:pt>
              </c:strCache>
            </c:strRef>
          </c:tx>
          <c:spPr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Lbl>
              <c:idx val="5"/>
              <c:layout>
                <c:manualLayout>
                  <c:x val="-3.5831452603616636E-2"/>
                  <c:y val="-7.5952527483711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DB-4A35-95E2-769EAE858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'provozni saldo'!$C$2:$AA$2</c:f>
              <c:strCache>
                <c:ptCount val="2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 rozpočet duben</c:v>
                </c:pt>
                <c:pt idx="20">
                  <c:v>2027 výhled</c:v>
                </c:pt>
                <c:pt idx="21">
                  <c:v>2028 výhled</c:v>
                </c:pt>
                <c:pt idx="22">
                  <c:v>2029 výhled</c:v>
                </c:pt>
                <c:pt idx="23">
                  <c:v>2030 výhled</c:v>
                </c:pt>
                <c:pt idx="24">
                  <c:v>2031 výhled</c:v>
                </c:pt>
              </c:strCache>
            </c:strRef>
          </c:cat>
          <c:val>
            <c:numRef>
              <c:f>'provozni saldo'!$C$10:$AA$10</c:f>
              <c:numCache>
                <c:formatCode>#,##0</c:formatCode>
                <c:ptCount val="25"/>
                <c:pt idx="1">
                  <c:v>9210.7200000000012</c:v>
                </c:pt>
                <c:pt idx="2">
                  <c:v>8027.35</c:v>
                </c:pt>
                <c:pt idx="3">
                  <c:v>16743.419999999998</c:v>
                </c:pt>
                <c:pt idx="4">
                  <c:v>18073.329999999998</c:v>
                </c:pt>
                <c:pt idx="5">
                  <c:v>20167.699999999997</c:v>
                </c:pt>
                <c:pt idx="6">
                  <c:v>23605.230000000003</c:v>
                </c:pt>
                <c:pt idx="7">
                  <c:v>31861.551800000001</c:v>
                </c:pt>
                <c:pt idx="8">
                  <c:v>38315.299449999999</c:v>
                </c:pt>
                <c:pt idx="9">
                  <c:v>21536.518239999998</c:v>
                </c:pt>
                <c:pt idx="10">
                  <c:v>28143.669190000001</c:v>
                </c:pt>
                <c:pt idx="11">
                  <c:v>33455.85643</c:v>
                </c:pt>
                <c:pt idx="12">
                  <c:v>39774.854290000003</c:v>
                </c:pt>
                <c:pt idx="13">
                  <c:v>57572.543960000003</c:v>
                </c:pt>
                <c:pt idx="14">
                  <c:v>39695.309959999999</c:v>
                </c:pt>
                <c:pt idx="15">
                  <c:v>20441.499640000002</c:v>
                </c:pt>
                <c:pt idx="16">
                  <c:v>27866.152949999996</c:v>
                </c:pt>
                <c:pt idx="17">
                  <c:v>33211.146650000002</c:v>
                </c:pt>
                <c:pt idx="18">
                  <c:v>10230.353589999997</c:v>
                </c:pt>
                <c:pt idx="19">
                  <c:v>21407.724430000002</c:v>
                </c:pt>
                <c:pt idx="20">
                  <c:v>18832.724430000002</c:v>
                </c:pt>
                <c:pt idx="21">
                  <c:v>33832.724430000002</c:v>
                </c:pt>
                <c:pt idx="22">
                  <c:v>50832.724430000002</c:v>
                </c:pt>
                <c:pt idx="23">
                  <c:v>68832.724430000002</c:v>
                </c:pt>
                <c:pt idx="24">
                  <c:v>88832.724430000002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B-4A35-95E2-769EAE858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847360"/>
        <c:axId val="138848896"/>
      </c:lineChart>
      <c:catAx>
        <c:axId val="13884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120000" vert="horz"/>
          <a:lstStyle/>
          <a:p>
            <a:pPr>
              <a:defRPr/>
            </a:pPr>
            <a:endParaRPr lang="cs-CZ"/>
          </a:p>
        </c:txPr>
        <c:crossAx val="138848896"/>
        <c:crosses val="autoZero"/>
        <c:auto val="1"/>
        <c:lblAlgn val="ctr"/>
        <c:lblOffset val="100"/>
        <c:noMultiLvlLbl val="0"/>
      </c:catAx>
      <c:valAx>
        <c:axId val="1388488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88473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Provozní saldo </a:t>
            </a:r>
            <a:r>
              <a:rPr lang="en-US"/>
              <a:t>(tis. Kč)</a:t>
            </a:r>
          </a:p>
        </c:rich>
      </c:tx>
      <c:layout>
        <c:manualLayout>
          <c:xMode val="edge"/>
          <c:yMode val="edge"/>
          <c:x val="1.5394740198723942E-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84418210258768"/>
          <c:y val="0.10264261317034711"/>
          <c:w val="0.82015581789741465"/>
          <c:h val="0.7478143635979464"/>
        </c:manualLayout>
      </c:layout>
      <c:lineChart>
        <c:grouping val="standard"/>
        <c:varyColors val="0"/>
        <c:ser>
          <c:idx val="0"/>
          <c:order val="0"/>
          <c:tx>
            <c:strRef>
              <c:f>'provozni saldo'!$B$5</c:f>
              <c:strCache>
                <c:ptCount val="1"/>
                <c:pt idx="0">
                  <c:v>PROVOZNÍ SALDO (tis. Kč)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Ref>
              <c:f>'provozni saldo'!$C$2:$AA$2</c:f>
              <c:strCache>
                <c:ptCount val="2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 rozpočet duben</c:v>
                </c:pt>
                <c:pt idx="20">
                  <c:v>2027 výhled</c:v>
                </c:pt>
                <c:pt idx="21">
                  <c:v>2028 výhled</c:v>
                </c:pt>
                <c:pt idx="22">
                  <c:v>2029 výhled</c:v>
                </c:pt>
                <c:pt idx="23">
                  <c:v>2030 výhled</c:v>
                </c:pt>
                <c:pt idx="24">
                  <c:v>2031 výhled</c:v>
                </c:pt>
              </c:strCache>
            </c:strRef>
          </c:cat>
          <c:val>
            <c:numRef>
              <c:f>'provozni saldo'!$C$5:$AA$5</c:f>
              <c:numCache>
                <c:formatCode>#,##0</c:formatCode>
                <c:ptCount val="25"/>
                <c:pt idx="0">
                  <c:v>2573.3700000000008</c:v>
                </c:pt>
                <c:pt idx="1">
                  <c:v>3126.59</c:v>
                </c:pt>
                <c:pt idx="2">
                  <c:v>-18.219999999999345</c:v>
                </c:pt>
                <c:pt idx="3">
                  <c:v>1887.2599999999984</c:v>
                </c:pt>
                <c:pt idx="4">
                  <c:v>2289.9299999999985</c:v>
                </c:pt>
                <c:pt idx="5">
                  <c:v>2976.6999999999989</c:v>
                </c:pt>
                <c:pt idx="6">
                  <c:v>5131.840000000002</c:v>
                </c:pt>
                <c:pt idx="7">
                  <c:v>9297.2999999999993</c:v>
                </c:pt>
                <c:pt idx="8">
                  <c:v>14484.88</c:v>
                </c:pt>
                <c:pt idx="9">
                  <c:v>6161.74</c:v>
                </c:pt>
                <c:pt idx="10">
                  <c:v>7455.5499999999993</c:v>
                </c:pt>
                <c:pt idx="11">
                  <c:v>7377.9499999999989</c:v>
                </c:pt>
                <c:pt idx="12">
                  <c:v>11490.720000000001</c:v>
                </c:pt>
                <c:pt idx="13">
                  <c:v>7655.0400000000009</c:v>
                </c:pt>
                <c:pt idx="14">
                  <c:v>9777.7999999999993</c:v>
                </c:pt>
                <c:pt idx="15">
                  <c:v>6237.4800000000032</c:v>
                </c:pt>
                <c:pt idx="16">
                  <c:v>14686.039999999997</c:v>
                </c:pt>
                <c:pt idx="17">
                  <c:v>13255.390000000003</c:v>
                </c:pt>
                <c:pt idx="18">
                  <c:v>14143.109999999997</c:v>
                </c:pt>
                <c:pt idx="19">
                  <c:v>9273</c:v>
                </c:pt>
                <c:pt idx="20">
                  <c:v>10000</c:v>
                </c:pt>
                <c:pt idx="21">
                  <c:v>15000</c:v>
                </c:pt>
                <c:pt idx="22">
                  <c:v>17000</c:v>
                </c:pt>
                <c:pt idx="23">
                  <c:v>18000</c:v>
                </c:pt>
                <c:pt idx="24">
                  <c:v>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A-4988-8BD1-DA059B983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028736"/>
        <c:axId val="139030528"/>
      </c:lineChart>
      <c:catAx>
        <c:axId val="13902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0"/>
            </a:pPr>
            <a:endParaRPr lang="cs-CZ"/>
          </a:p>
        </c:txPr>
        <c:crossAx val="139030528"/>
        <c:crosses val="autoZero"/>
        <c:auto val="1"/>
        <c:lblAlgn val="ctr"/>
        <c:lblOffset val="100"/>
        <c:noMultiLvlLbl val="0"/>
      </c:catAx>
      <c:valAx>
        <c:axId val="1390305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902873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1200"/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170286824464176"/>
          <c:y val="6.4254624509788832E-2"/>
          <c:w val="0.68027278818272241"/>
          <c:h val="0.771011449968615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'provozni saldo'!$B$9</c:f>
              <c:strCache>
                <c:ptCount val="1"/>
                <c:pt idx="0">
                  <c:v>Stav na bankovních účtech (tis. Kč)</c:v>
                </c:pt>
              </c:strCache>
            </c:strRef>
          </c:tx>
          <c:spPr>
            <a:solidFill>
              <a:srgbClr val="0070C0"/>
            </a:solidFill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'provozni saldo'!$F$2:$O$2</c:f>
              <c:numCache>
                <c:formatCode>0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'provozni saldo'!$C$9:$O$9</c:f>
              <c:numCache>
                <c:formatCode>#,##0</c:formatCode>
                <c:ptCount val="13"/>
                <c:pt idx="0">
                  <c:v>6084.13</c:v>
                </c:pt>
                <c:pt idx="1">
                  <c:v>8045.57</c:v>
                </c:pt>
                <c:pt idx="2">
                  <c:v>14856.16</c:v>
                </c:pt>
                <c:pt idx="3">
                  <c:v>15783.4</c:v>
                </c:pt>
                <c:pt idx="4">
                  <c:v>17191</c:v>
                </c:pt>
                <c:pt idx="5">
                  <c:v>18473.39</c:v>
                </c:pt>
                <c:pt idx="6">
                  <c:v>22564.251800000002</c:v>
                </c:pt>
                <c:pt idx="7">
                  <c:v>23830.419449999998</c:v>
                </c:pt>
                <c:pt idx="8">
                  <c:v>15374.77824</c:v>
                </c:pt>
                <c:pt idx="9">
                  <c:v>20688.119190000001</c:v>
                </c:pt>
                <c:pt idx="10">
                  <c:v>26077.906429999999</c:v>
                </c:pt>
                <c:pt idx="11">
                  <c:v>28284.134289999998</c:v>
                </c:pt>
                <c:pt idx="12">
                  <c:v>49917.503960000002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31-4652-91CB-5495F8FA0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078656"/>
        <c:axId val="139092736"/>
      </c:barChart>
      <c:lineChart>
        <c:grouping val="standard"/>
        <c:varyColors val="0"/>
        <c:ser>
          <c:idx val="0"/>
          <c:order val="0"/>
          <c:tx>
            <c:strRef>
              <c:f>'provozni saldo'!$B$5</c:f>
              <c:strCache>
                <c:ptCount val="1"/>
                <c:pt idx="0">
                  <c:v>PROVOZNÍ SALDO (tis. Kč)</c:v>
                </c:pt>
              </c:strCache>
            </c:strRef>
          </c:tx>
          <c:spPr>
            <a:ln w="539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'provozni saldo'!$C$2:$O$2</c:f>
              <c:numCache>
                <c:formatCode>0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'provozni saldo'!$C$5:$O$5</c:f>
              <c:numCache>
                <c:formatCode>#,##0</c:formatCode>
                <c:ptCount val="13"/>
                <c:pt idx="0">
                  <c:v>2573.3700000000008</c:v>
                </c:pt>
                <c:pt idx="1">
                  <c:v>3126.59</c:v>
                </c:pt>
                <c:pt idx="2">
                  <c:v>-18.219999999999345</c:v>
                </c:pt>
                <c:pt idx="3">
                  <c:v>1887.2599999999984</c:v>
                </c:pt>
                <c:pt idx="4">
                  <c:v>2289.9299999999985</c:v>
                </c:pt>
                <c:pt idx="5">
                  <c:v>2976.6999999999989</c:v>
                </c:pt>
                <c:pt idx="6">
                  <c:v>5131.840000000002</c:v>
                </c:pt>
                <c:pt idx="7">
                  <c:v>9297.2999999999993</c:v>
                </c:pt>
                <c:pt idx="8">
                  <c:v>14484.88</c:v>
                </c:pt>
                <c:pt idx="9">
                  <c:v>6161.74</c:v>
                </c:pt>
                <c:pt idx="10">
                  <c:v>7455.5499999999993</c:v>
                </c:pt>
                <c:pt idx="11">
                  <c:v>7377.9499999999989</c:v>
                </c:pt>
                <c:pt idx="12">
                  <c:v>11490.720000000001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1-4652-91CB-5495F8FA0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78656"/>
        <c:axId val="139092736"/>
      </c:lineChart>
      <c:catAx>
        <c:axId val="13907865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39092736"/>
        <c:crosses val="autoZero"/>
        <c:auto val="1"/>
        <c:lblAlgn val="ctr"/>
        <c:lblOffset val="100"/>
        <c:noMultiLvlLbl val="0"/>
      </c:catAx>
      <c:valAx>
        <c:axId val="1390927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907865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1200"/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874797891551665"/>
          <c:y val="6.6908125130990453E-2"/>
          <c:w val="0.73557293495464049"/>
          <c:h val="0.68679324876595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'provozni saldo'!$B$5</c:f>
              <c:strCache>
                <c:ptCount val="1"/>
                <c:pt idx="0">
                  <c:v>PROVOZNÍ SALDO (tis. Kč)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6350">
              <a:solidFill>
                <a:schemeClr val="tx1"/>
              </a:solidFill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cat>
            <c:strRef>
              <c:f>'provozni saldo'!$C$2:$AA$2</c:f>
              <c:strCache>
                <c:ptCount val="2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 rozpočet duben</c:v>
                </c:pt>
                <c:pt idx="20">
                  <c:v>2027 výhled</c:v>
                </c:pt>
                <c:pt idx="21">
                  <c:v>2028 výhled</c:v>
                </c:pt>
                <c:pt idx="22">
                  <c:v>2029 výhled</c:v>
                </c:pt>
                <c:pt idx="23">
                  <c:v>2030 výhled</c:v>
                </c:pt>
                <c:pt idx="24">
                  <c:v>2031 výhled</c:v>
                </c:pt>
              </c:strCache>
            </c:strRef>
          </c:cat>
          <c:val>
            <c:numRef>
              <c:f>'provozni saldo'!$C$5:$AA$5</c:f>
              <c:numCache>
                <c:formatCode>#,##0</c:formatCode>
                <c:ptCount val="25"/>
                <c:pt idx="0">
                  <c:v>2573.3700000000008</c:v>
                </c:pt>
                <c:pt idx="1">
                  <c:v>3126.59</c:v>
                </c:pt>
                <c:pt idx="2">
                  <c:v>-18.219999999999345</c:v>
                </c:pt>
                <c:pt idx="3">
                  <c:v>1887.2599999999984</c:v>
                </c:pt>
                <c:pt idx="4">
                  <c:v>2289.9299999999985</c:v>
                </c:pt>
                <c:pt idx="5">
                  <c:v>2976.6999999999989</c:v>
                </c:pt>
                <c:pt idx="6">
                  <c:v>5131.840000000002</c:v>
                </c:pt>
                <c:pt idx="7">
                  <c:v>9297.2999999999993</c:v>
                </c:pt>
                <c:pt idx="8">
                  <c:v>14484.88</c:v>
                </c:pt>
                <c:pt idx="9">
                  <c:v>6161.74</c:v>
                </c:pt>
                <c:pt idx="10">
                  <c:v>7455.5499999999993</c:v>
                </c:pt>
                <c:pt idx="11">
                  <c:v>7377.9499999999989</c:v>
                </c:pt>
                <c:pt idx="12">
                  <c:v>11490.720000000001</c:v>
                </c:pt>
                <c:pt idx="13">
                  <c:v>7655.0400000000009</c:v>
                </c:pt>
                <c:pt idx="14">
                  <c:v>9777.7999999999993</c:v>
                </c:pt>
                <c:pt idx="15">
                  <c:v>6237.4800000000032</c:v>
                </c:pt>
                <c:pt idx="16">
                  <c:v>14686.039999999997</c:v>
                </c:pt>
                <c:pt idx="17">
                  <c:v>13255.390000000003</c:v>
                </c:pt>
                <c:pt idx="18">
                  <c:v>14143.109999999997</c:v>
                </c:pt>
                <c:pt idx="19">
                  <c:v>9273</c:v>
                </c:pt>
                <c:pt idx="20">
                  <c:v>10000</c:v>
                </c:pt>
                <c:pt idx="21">
                  <c:v>15000</c:v>
                </c:pt>
                <c:pt idx="22">
                  <c:v>17000</c:v>
                </c:pt>
                <c:pt idx="23">
                  <c:v>18000</c:v>
                </c:pt>
                <c:pt idx="24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7F-4D4D-8760-D455AA2C1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3"/>
        <c:axId val="139192960"/>
        <c:axId val="139219712"/>
      </c:barChart>
      <c:lineChart>
        <c:grouping val="standard"/>
        <c:varyColors val="0"/>
        <c:ser>
          <c:idx val="3"/>
          <c:order val="1"/>
          <c:tx>
            <c:strRef>
              <c:f>'provozni saldo'!$B$9</c:f>
              <c:strCache>
                <c:ptCount val="1"/>
                <c:pt idx="0">
                  <c:v>Stav na bankovních účtech (tis. Kč)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'provozni saldo'!$C$2:$AA$2</c:f>
              <c:strCache>
                <c:ptCount val="2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 rozpočet duben</c:v>
                </c:pt>
                <c:pt idx="20">
                  <c:v>2027 výhled</c:v>
                </c:pt>
                <c:pt idx="21">
                  <c:v>2028 výhled</c:v>
                </c:pt>
                <c:pt idx="22">
                  <c:v>2029 výhled</c:v>
                </c:pt>
                <c:pt idx="23">
                  <c:v>2030 výhled</c:v>
                </c:pt>
                <c:pt idx="24">
                  <c:v>2031 výhled</c:v>
                </c:pt>
              </c:strCache>
            </c:strRef>
          </c:cat>
          <c:val>
            <c:numRef>
              <c:f>'provozni saldo'!$C$9:$AA$9</c:f>
              <c:numCache>
                <c:formatCode>#,##0</c:formatCode>
                <c:ptCount val="25"/>
                <c:pt idx="0">
                  <c:v>6084.13</c:v>
                </c:pt>
                <c:pt idx="1">
                  <c:v>8045.57</c:v>
                </c:pt>
                <c:pt idx="2">
                  <c:v>14856.16</c:v>
                </c:pt>
                <c:pt idx="3">
                  <c:v>15783.4</c:v>
                </c:pt>
                <c:pt idx="4">
                  <c:v>17191</c:v>
                </c:pt>
                <c:pt idx="5">
                  <c:v>18473.39</c:v>
                </c:pt>
                <c:pt idx="6">
                  <c:v>22564.251800000002</c:v>
                </c:pt>
                <c:pt idx="7">
                  <c:v>23830.419449999998</c:v>
                </c:pt>
                <c:pt idx="8">
                  <c:v>15374.77824</c:v>
                </c:pt>
                <c:pt idx="9">
                  <c:v>20688.119190000001</c:v>
                </c:pt>
                <c:pt idx="10">
                  <c:v>26077.906429999999</c:v>
                </c:pt>
                <c:pt idx="11">
                  <c:v>28284.134289999998</c:v>
                </c:pt>
                <c:pt idx="12">
                  <c:v>49917.503960000002</c:v>
                </c:pt>
                <c:pt idx="13">
                  <c:v>29917.509959999999</c:v>
                </c:pt>
                <c:pt idx="14">
                  <c:v>14204.01964</c:v>
                </c:pt>
                <c:pt idx="15">
                  <c:v>13180.112949999999</c:v>
                </c:pt>
                <c:pt idx="16">
                  <c:v>20710.476649999997</c:v>
                </c:pt>
                <c:pt idx="17">
                  <c:v>12042.01359</c:v>
                </c:pt>
                <c:pt idx="18">
                  <c:v>12134.72443</c:v>
                </c:pt>
                <c:pt idx="19">
                  <c:v>8832.7244300000002</c:v>
                </c:pt>
                <c:pt idx="20">
                  <c:v>18832.724430000002</c:v>
                </c:pt>
                <c:pt idx="21">
                  <c:v>33832.724430000002</c:v>
                </c:pt>
                <c:pt idx="22">
                  <c:v>50832.724430000002</c:v>
                </c:pt>
                <c:pt idx="23">
                  <c:v>68832.724430000002</c:v>
                </c:pt>
                <c:pt idx="24">
                  <c:v>88832.724430000002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F-4D4D-8760-D455AA2C14A0}"/>
            </c:ext>
          </c:extLst>
        </c:ser>
        <c:ser>
          <c:idx val="2"/>
          <c:order val="2"/>
          <c:tx>
            <c:strRef>
              <c:f>'provozni saldo'!$B$8</c:f>
              <c:strCache>
                <c:ptCount val="1"/>
                <c:pt idx="0">
                  <c:v>Zbývá po uhrazení splátek úvěrů (tis. Kč)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bg1"/>
              </a:solidFill>
              <a:ln w="47625">
                <a:solidFill>
                  <a:srgbClr val="FF0000"/>
                </a:solidFill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'provozni saldo'!$C$2:$P$2</c:f>
              <c:numCache>
                <c:formatCode>0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'provozni saldo'!$C$8:$AA$8</c:f>
              <c:numCache>
                <c:formatCode>#,##0</c:formatCode>
                <c:ptCount val="25"/>
                <c:pt idx="0">
                  <c:v>2573.3700000000008</c:v>
                </c:pt>
                <c:pt idx="1">
                  <c:v>3126.59</c:v>
                </c:pt>
                <c:pt idx="2">
                  <c:v>-18.219999999999345</c:v>
                </c:pt>
                <c:pt idx="3">
                  <c:v>1887.2599999999984</c:v>
                </c:pt>
                <c:pt idx="4">
                  <c:v>2289.9299999999985</c:v>
                </c:pt>
                <c:pt idx="5">
                  <c:v>2976.6999999999989</c:v>
                </c:pt>
                <c:pt idx="6">
                  <c:v>5131.840000000002</c:v>
                </c:pt>
                <c:pt idx="7">
                  <c:v>9297.2999999999993</c:v>
                </c:pt>
                <c:pt idx="8">
                  <c:v>14484.88</c:v>
                </c:pt>
                <c:pt idx="9">
                  <c:v>6161.74</c:v>
                </c:pt>
                <c:pt idx="10">
                  <c:v>7455.5499999999993</c:v>
                </c:pt>
                <c:pt idx="11">
                  <c:v>7377.9499999999989</c:v>
                </c:pt>
                <c:pt idx="12">
                  <c:v>11490.720000000001</c:v>
                </c:pt>
                <c:pt idx="13">
                  <c:v>7655.0400000000009</c:v>
                </c:pt>
                <c:pt idx="14">
                  <c:v>9777.7999999999993</c:v>
                </c:pt>
                <c:pt idx="15">
                  <c:v>6237.4800000000032</c:v>
                </c:pt>
                <c:pt idx="16">
                  <c:v>14686.039999999997</c:v>
                </c:pt>
                <c:pt idx="17">
                  <c:v>12500.670000000004</c:v>
                </c:pt>
                <c:pt idx="18">
                  <c:v>-1811.6600000000035</c:v>
                </c:pt>
                <c:pt idx="19">
                  <c:v>9273</c:v>
                </c:pt>
                <c:pt idx="20">
                  <c:v>10000</c:v>
                </c:pt>
                <c:pt idx="21">
                  <c:v>15000</c:v>
                </c:pt>
                <c:pt idx="22">
                  <c:v>17000</c:v>
                </c:pt>
                <c:pt idx="23">
                  <c:v>18000</c:v>
                </c:pt>
                <c:pt idx="24">
                  <c:v>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7F-4D4D-8760-D455AA2C1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92960"/>
        <c:axId val="139219712"/>
      </c:lineChart>
      <c:catAx>
        <c:axId val="13919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9219712"/>
        <c:crosses val="autoZero"/>
        <c:auto val="1"/>
        <c:lblAlgn val="ctr"/>
        <c:lblOffset val="100"/>
        <c:noMultiLvlLbl val="0"/>
      </c:catAx>
      <c:valAx>
        <c:axId val="139219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tis. Kč</a:t>
                </a:r>
              </a:p>
            </c:rich>
          </c:tx>
          <c:layout>
            <c:manualLayout>
              <c:xMode val="edge"/>
              <c:yMode val="edge"/>
              <c:x val="0.18594824036327329"/>
              <c:y val="0.242969965417137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919296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1200"/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35537368376994"/>
          <c:y val="1.1221303964083921E-2"/>
          <c:w val="0.79955960461142295"/>
          <c:h val="0.828712258054281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'provozni saldo'!$B$5</c:f>
              <c:strCache>
                <c:ptCount val="1"/>
                <c:pt idx="0">
                  <c:v>PROVOZNÍ SALDO (tis. Kč)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6350">
              <a:solidFill>
                <a:schemeClr val="tx1"/>
              </a:solidFill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cat>
            <c:strRef>
              <c:f>'provozni saldo'!$C$2:$AA$2</c:f>
              <c:strCache>
                <c:ptCount val="2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 rozpočet duben</c:v>
                </c:pt>
                <c:pt idx="20">
                  <c:v>2027 výhled</c:v>
                </c:pt>
                <c:pt idx="21">
                  <c:v>2028 výhled</c:v>
                </c:pt>
                <c:pt idx="22">
                  <c:v>2029 výhled</c:v>
                </c:pt>
                <c:pt idx="23">
                  <c:v>2030 výhled</c:v>
                </c:pt>
                <c:pt idx="24">
                  <c:v>2031 výhled</c:v>
                </c:pt>
              </c:strCache>
            </c:strRef>
          </c:cat>
          <c:val>
            <c:numRef>
              <c:f>'provozni saldo'!$C$5:$AA$5</c:f>
              <c:numCache>
                <c:formatCode>#,##0</c:formatCode>
                <c:ptCount val="25"/>
                <c:pt idx="0">
                  <c:v>2573.3700000000008</c:v>
                </c:pt>
                <c:pt idx="1">
                  <c:v>3126.59</c:v>
                </c:pt>
                <c:pt idx="2">
                  <c:v>-18.219999999999345</c:v>
                </c:pt>
                <c:pt idx="3">
                  <c:v>1887.2599999999984</c:v>
                </c:pt>
                <c:pt idx="4">
                  <c:v>2289.9299999999985</c:v>
                </c:pt>
                <c:pt idx="5">
                  <c:v>2976.6999999999989</c:v>
                </c:pt>
                <c:pt idx="6">
                  <c:v>5131.840000000002</c:v>
                </c:pt>
                <c:pt idx="7">
                  <c:v>9297.2999999999993</c:v>
                </c:pt>
                <c:pt idx="8">
                  <c:v>14484.88</c:v>
                </c:pt>
                <c:pt idx="9">
                  <c:v>6161.74</c:v>
                </c:pt>
                <c:pt idx="10">
                  <c:v>7455.5499999999993</c:v>
                </c:pt>
                <c:pt idx="11">
                  <c:v>7377.9499999999989</c:v>
                </c:pt>
                <c:pt idx="12">
                  <c:v>11490.720000000001</c:v>
                </c:pt>
                <c:pt idx="13">
                  <c:v>7655.0400000000009</c:v>
                </c:pt>
                <c:pt idx="14">
                  <c:v>9777.7999999999993</c:v>
                </c:pt>
                <c:pt idx="15">
                  <c:v>6237.4800000000032</c:v>
                </c:pt>
                <c:pt idx="16">
                  <c:v>14686.039999999997</c:v>
                </c:pt>
                <c:pt idx="17">
                  <c:v>13255.390000000003</c:v>
                </c:pt>
                <c:pt idx="18">
                  <c:v>14143.109999999997</c:v>
                </c:pt>
                <c:pt idx="19">
                  <c:v>9273</c:v>
                </c:pt>
                <c:pt idx="20">
                  <c:v>10000</c:v>
                </c:pt>
                <c:pt idx="21">
                  <c:v>15000</c:v>
                </c:pt>
                <c:pt idx="22">
                  <c:v>17000</c:v>
                </c:pt>
                <c:pt idx="23">
                  <c:v>18000</c:v>
                </c:pt>
                <c:pt idx="24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C6-4DEC-8833-D2D76AD34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3"/>
        <c:axId val="139245824"/>
        <c:axId val="139264000"/>
      </c:barChart>
      <c:lineChart>
        <c:grouping val="standard"/>
        <c:varyColors val="0"/>
        <c:ser>
          <c:idx val="2"/>
          <c:order val="1"/>
          <c:tx>
            <c:strRef>
              <c:f>'provozni saldo'!$B$8</c:f>
              <c:strCache>
                <c:ptCount val="1"/>
                <c:pt idx="0">
                  <c:v>Zbývá po uhrazení splátek úvěrů (tis. Kč)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bg1"/>
              </a:solidFill>
              <a:ln w="47625">
                <a:solidFill>
                  <a:srgbClr val="FF0000"/>
                </a:solidFill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'provozni saldo'!$C$2:$P$2</c:f>
              <c:numCache>
                <c:formatCode>0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'provozni saldo'!$C$8:$AA$8</c:f>
              <c:numCache>
                <c:formatCode>#,##0</c:formatCode>
                <c:ptCount val="25"/>
                <c:pt idx="0">
                  <c:v>2573.3700000000008</c:v>
                </c:pt>
                <c:pt idx="1">
                  <c:v>3126.59</c:v>
                </c:pt>
                <c:pt idx="2">
                  <c:v>-18.219999999999345</c:v>
                </c:pt>
                <c:pt idx="3">
                  <c:v>1887.2599999999984</c:v>
                </c:pt>
                <c:pt idx="4">
                  <c:v>2289.9299999999985</c:v>
                </c:pt>
                <c:pt idx="5">
                  <c:v>2976.6999999999989</c:v>
                </c:pt>
                <c:pt idx="6">
                  <c:v>5131.840000000002</c:v>
                </c:pt>
                <c:pt idx="7">
                  <c:v>9297.2999999999993</c:v>
                </c:pt>
                <c:pt idx="8">
                  <c:v>14484.88</c:v>
                </c:pt>
                <c:pt idx="9">
                  <c:v>6161.74</c:v>
                </c:pt>
                <c:pt idx="10">
                  <c:v>7455.5499999999993</c:v>
                </c:pt>
                <c:pt idx="11">
                  <c:v>7377.9499999999989</c:v>
                </c:pt>
                <c:pt idx="12">
                  <c:v>11490.720000000001</c:v>
                </c:pt>
                <c:pt idx="13">
                  <c:v>7655.0400000000009</c:v>
                </c:pt>
                <c:pt idx="14">
                  <c:v>9777.7999999999993</c:v>
                </c:pt>
                <c:pt idx="15">
                  <c:v>6237.4800000000032</c:v>
                </c:pt>
                <c:pt idx="16">
                  <c:v>14686.039999999997</c:v>
                </c:pt>
                <c:pt idx="17">
                  <c:v>12500.670000000004</c:v>
                </c:pt>
                <c:pt idx="18">
                  <c:v>-1811.6600000000035</c:v>
                </c:pt>
                <c:pt idx="19">
                  <c:v>9273</c:v>
                </c:pt>
                <c:pt idx="20">
                  <c:v>10000</c:v>
                </c:pt>
                <c:pt idx="21">
                  <c:v>15000</c:v>
                </c:pt>
                <c:pt idx="22">
                  <c:v>17000</c:v>
                </c:pt>
                <c:pt idx="23">
                  <c:v>18000</c:v>
                </c:pt>
                <c:pt idx="24">
                  <c:v>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6-4DEC-8833-D2D76AD34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45824"/>
        <c:axId val="139264000"/>
      </c:lineChart>
      <c:lineChart>
        <c:grouping val="standard"/>
        <c:varyColors val="0"/>
        <c:ser>
          <c:idx val="1"/>
          <c:order val="2"/>
          <c:tx>
            <c:strRef>
              <c:f>'provozni saldo'!$B$6</c:f>
              <c:strCache>
                <c:ptCount val="1"/>
                <c:pt idx="0">
                  <c:v>% Podíl provozního salda na běžných příjmech</c:v>
                </c:pt>
              </c:strCache>
            </c:strRef>
          </c:tx>
          <c:spPr>
            <a:ln w="34925">
              <a:solidFill>
                <a:prstClr val="black"/>
              </a:solidFill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'provozni saldo'!$C$2:$AA$2</c:f>
              <c:strCache>
                <c:ptCount val="2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 rozpočet duben</c:v>
                </c:pt>
                <c:pt idx="20">
                  <c:v>2027 výhled</c:v>
                </c:pt>
                <c:pt idx="21">
                  <c:v>2028 výhled</c:v>
                </c:pt>
                <c:pt idx="22">
                  <c:v>2029 výhled</c:v>
                </c:pt>
                <c:pt idx="23">
                  <c:v>2030 výhled</c:v>
                </c:pt>
                <c:pt idx="24">
                  <c:v>2031 výhled</c:v>
                </c:pt>
              </c:strCache>
            </c:strRef>
          </c:cat>
          <c:val>
            <c:numRef>
              <c:f>'provozni saldo'!$C$6:$AA$6</c:f>
              <c:numCache>
                <c:formatCode>0%</c:formatCode>
                <c:ptCount val="25"/>
                <c:pt idx="0">
                  <c:v>0.23079696464462116</c:v>
                </c:pt>
                <c:pt idx="1">
                  <c:v>0.28478145826862594</c:v>
                </c:pt>
                <c:pt idx="2">
                  <c:v>-1.3786058829092476E-3</c:v>
                </c:pt>
                <c:pt idx="3">
                  <c:v>0.1660477028833065</c:v>
                </c:pt>
                <c:pt idx="4">
                  <c:v>0.19738053371948686</c:v>
                </c:pt>
                <c:pt idx="5">
                  <c:v>0.23062500484229603</c:v>
                </c:pt>
                <c:pt idx="6">
                  <c:v>0.34819684455430172</c:v>
                </c:pt>
                <c:pt idx="7">
                  <c:v>0.59407326092054413</c:v>
                </c:pt>
                <c:pt idx="8">
                  <c:v>0.89824869509459748</c:v>
                </c:pt>
                <c:pt idx="9">
                  <c:v>0.37254535637867248</c:v>
                </c:pt>
                <c:pt idx="10">
                  <c:v>0.40802828787432666</c:v>
                </c:pt>
                <c:pt idx="11">
                  <c:v>0.32167763566643481</c:v>
                </c:pt>
                <c:pt idx="12">
                  <c:v>0.45582846690571371</c:v>
                </c:pt>
                <c:pt idx="13">
                  <c:v>0.31534665293511849</c:v>
                </c:pt>
                <c:pt idx="14">
                  <c:v>0.36271436679489411</c:v>
                </c:pt>
                <c:pt idx="15">
                  <c:v>0.19512405706681391</c:v>
                </c:pt>
                <c:pt idx="16">
                  <c:v>0.38697821586822428</c:v>
                </c:pt>
                <c:pt idx="17">
                  <c:v>0.34765263350596126</c:v>
                </c:pt>
                <c:pt idx="18">
                  <c:v>0.36103483424257171</c:v>
                </c:pt>
                <c:pt idx="19">
                  <c:v>0.1956370387560919</c:v>
                </c:pt>
                <c:pt idx="20">
                  <c:v>0.20132876988121604</c:v>
                </c:pt>
                <c:pt idx="21">
                  <c:v>0.28560548362528559</c:v>
                </c:pt>
                <c:pt idx="22">
                  <c:v>0.30509691313711412</c:v>
                </c:pt>
                <c:pt idx="23">
                  <c:v>0.30575845082384917</c:v>
                </c:pt>
                <c:pt idx="24">
                  <c:v>0.32144005143040821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C6-4DEC-8833-D2D76AD34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67456"/>
        <c:axId val="139265920"/>
      </c:lineChart>
      <c:catAx>
        <c:axId val="13924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9264000"/>
        <c:crosses val="autoZero"/>
        <c:auto val="1"/>
        <c:lblAlgn val="ctr"/>
        <c:lblOffset val="100"/>
        <c:noMultiLvlLbl val="0"/>
      </c:catAx>
      <c:valAx>
        <c:axId val="1392640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tis. Kč</a:t>
                </a:r>
              </a:p>
            </c:rich>
          </c:tx>
          <c:layout>
            <c:manualLayout>
              <c:xMode val="edge"/>
              <c:yMode val="edge"/>
              <c:x val="0.11449859101731505"/>
              <c:y val="0.3235733923238960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9245824"/>
        <c:crosses val="autoZero"/>
        <c:crossBetween val="between"/>
      </c:valAx>
      <c:valAx>
        <c:axId val="13926592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139267456"/>
        <c:crosses val="max"/>
        <c:crossBetween val="between"/>
      </c:valAx>
      <c:catAx>
        <c:axId val="139267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92659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1200"/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0_1">
  <dgm:title val=""/>
  <dgm:desc val=""/>
  <dgm:catLst>
    <dgm:cat type="mainScheme" pri="10100"/>
  </dgm:catLst>
  <dgm:styleLbl name="node0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dk1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dk1">
        <a:tint val="40000"/>
      </a:schemeClr>
    </dgm:fillClrLst>
    <dgm:linClrLst meth="repeat">
      <a:schemeClr val="dk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dk1">
        <a:tint val="40000"/>
      </a:schemeClr>
    </dgm:fillClrLst>
    <dgm:linClrLst meth="repeat">
      <a:schemeClr val="dk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dk1">
        <a:tint val="40000"/>
      </a:schemeClr>
    </dgm:fillClrLst>
    <dgm:linClrLst meth="repeat">
      <a:schemeClr val="dk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dk1">
        <a:tint val="60000"/>
      </a:schemeClr>
    </dgm:fillClrLst>
    <dgm:linClrLst meth="repeat">
      <a:schemeClr val="dk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dk1">
        <a:tint val="60000"/>
      </a:schemeClr>
    </dgm:fillClrLst>
    <dgm:linClrLst meth="repeat">
      <a:schemeClr val="dk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dk1">
        <a:tint val="60000"/>
      </a:schemeClr>
    </dgm:fillClrLst>
    <dgm:linClrLst meth="repeat">
      <a:schemeClr val="dk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dk1"/>
    </dgm:fillClrLst>
    <dgm:linClrLst meth="repeat">
      <a:schemeClr val="dk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dk1"/>
    </dgm:fillClrLst>
    <dgm:linClrLst meth="repeat">
      <a:schemeClr val="dk1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dk1">
        <a:tint val="60000"/>
      </a:schemeClr>
    </dgm:fillClrLst>
    <dgm:linClrLst meth="repeat">
      <a:schemeClr val="dk1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dk1"/>
    </dgm:fillClrLst>
    <dgm:linClrLst meth="repeat">
      <a:schemeClr val="dk1"/>
    </dgm:linClrLst>
    <dgm:effectClrLst/>
    <dgm:txLinClrLst/>
    <dgm:txFillClrLst/>
    <dgm:txEffectClrLst/>
  </dgm:styleLbl>
  <dgm:styleLbl name="parChTrans2D3">
    <dgm:fillClrLst meth="repeat">
      <a:schemeClr val="dk1"/>
    </dgm:fillClrLst>
    <dgm:linClrLst meth="repeat">
      <a:schemeClr val="dk1"/>
    </dgm:linClrLst>
    <dgm:effectClrLst/>
    <dgm:txLinClrLst/>
    <dgm:txFillClrLst/>
    <dgm:txEffectClrLst/>
  </dgm:styleLbl>
  <dgm:styleLbl name="parChTrans2D4">
    <dgm:fillClrLst meth="repeat">
      <a:schemeClr val="dk1"/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dk1"/>
    </dgm:fillClrLst>
    <dgm:linClrLst meth="repeat">
      <a:schemeClr val="dk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dk1"/>
    </dgm:fillClrLst>
    <dgm:linClrLst meth="repeat">
      <a:schemeClr val="dk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dk1"/>
    </dgm:fillClrLst>
    <dgm:linClrLst meth="repeat">
      <a:schemeClr val="dk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dk1"/>
    </dgm:fillClrLst>
    <dgm:linClrLst meth="repeat">
      <a:schemeClr val="dk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dk1">
        <a:alpha val="4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dk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dk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dk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dk1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dk1">
        <a:shade val="8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dk1">
        <a:tint val="50000"/>
        <a:alpha val="4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dk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4C8F3AB7-3BFD-4A3E-9ABE-5126D9434BAC}" type="doc">
      <dgm:prSet loTypeId="urn:microsoft.com/office/officeart/2005/8/layout/equation2" loCatId="relationship" qsTypeId="urn:microsoft.com/office/officeart/2005/8/quickstyle/simple1" qsCatId="simple" csTypeId="urn:microsoft.com/office/officeart/2005/8/colors/accent0_1" csCatId="mainScheme" phldr="1"/>
      <dgm:spPr/>
    </dgm:pt>
    <dgm:pt modelId="{5DB09C96-C1A8-4611-A96D-B21C31274BC9}">
      <dgm:prSet phldrT="[Text]" custT="1"/>
      <dgm:spPr/>
      <dgm:t>
        <a:bodyPr/>
        <a:lstStyle/>
        <a:p>
          <a:r>
            <a:rPr lang="cs-CZ" sz="1100" dirty="0">
              <a:latin typeface="+mn-lt"/>
            </a:rPr>
            <a:t>Stav financí</a:t>
          </a:r>
        </a:p>
      </dgm:t>
    </dgm:pt>
    <dgm:pt modelId="{AFC99702-02FD-43D0-87B1-7990D7BD5CB7}" type="parTrans" cxnId="{30ED1BD8-6D72-4363-8722-8CCE40272289}">
      <dgm:prSet/>
      <dgm:spPr/>
      <dgm:t>
        <a:bodyPr/>
        <a:lstStyle/>
        <a:p>
          <a:endParaRPr lang="cs-CZ" sz="1100">
            <a:solidFill>
              <a:schemeClr val="tx1"/>
            </a:solidFill>
            <a:latin typeface="+mn-lt"/>
          </a:endParaRPr>
        </a:p>
      </dgm:t>
    </dgm:pt>
    <dgm:pt modelId="{292DE613-F0D8-413B-A621-2262F464C142}" type="sibTrans" cxnId="{30ED1BD8-6D72-4363-8722-8CCE40272289}">
      <dgm:prSet custT="1"/>
      <dgm:spPr/>
      <dgm:t>
        <a:bodyPr/>
        <a:lstStyle/>
        <a:p>
          <a:endParaRPr lang="cs-CZ" sz="1100">
            <a:solidFill>
              <a:schemeClr val="tx1"/>
            </a:solidFill>
            <a:latin typeface="+mn-lt"/>
          </a:endParaRPr>
        </a:p>
      </dgm:t>
    </dgm:pt>
    <dgm:pt modelId="{7A11CBC8-FC55-4B5C-B6F1-D97CB0B44303}">
      <dgm:prSet phldrT="[Text]" custT="1"/>
      <dgm:spPr/>
      <dgm:t>
        <a:bodyPr/>
        <a:lstStyle/>
        <a:p>
          <a:r>
            <a:rPr lang="cs-CZ" sz="1100" dirty="0">
              <a:latin typeface="+mn-lt"/>
            </a:rPr>
            <a:t>Finanční kondice</a:t>
          </a:r>
        </a:p>
      </dgm:t>
    </dgm:pt>
    <dgm:pt modelId="{723C7FF7-F219-48BD-8D53-72CA5C01B745}" type="parTrans" cxnId="{3A6A86C6-62D2-490D-A62B-82EB94AD086C}">
      <dgm:prSet/>
      <dgm:spPr/>
      <dgm:t>
        <a:bodyPr/>
        <a:lstStyle/>
        <a:p>
          <a:endParaRPr lang="cs-CZ" sz="1100">
            <a:solidFill>
              <a:schemeClr val="tx1"/>
            </a:solidFill>
            <a:latin typeface="+mn-lt"/>
          </a:endParaRPr>
        </a:p>
      </dgm:t>
    </dgm:pt>
    <dgm:pt modelId="{0941816D-F847-4832-93D3-46BB52A795EE}" type="sibTrans" cxnId="{3A6A86C6-62D2-490D-A62B-82EB94AD086C}">
      <dgm:prSet custT="1"/>
      <dgm:spPr/>
      <dgm:t>
        <a:bodyPr/>
        <a:lstStyle/>
        <a:p>
          <a:endParaRPr lang="cs-CZ" sz="1100">
            <a:solidFill>
              <a:schemeClr val="tx1"/>
            </a:solidFill>
            <a:latin typeface="+mn-lt"/>
          </a:endParaRPr>
        </a:p>
      </dgm:t>
    </dgm:pt>
    <dgm:pt modelId="{60D7B83A-8A78-4978-AE6B-88C4980B21C1}">
      <dgm:prSet phldrT="[Text]" custT="1"/>
      <dgm:spPr/>
      <dgm:t>
        <a:bodyPr/>
        <a:lstStyle/>
        <a:p>
          <a:r>
            <a:rPr lang="cs-CZ" sz="1100" dirty="0">
              <a:latin typeface="+mn-lt"/>
            </a:rPr>
            <a:t>Rating</a:t>
          </a:r>
        </a:p>
      </dgm:t>
    </dgm:pt>
    <dgm:pt modelId="{7ADE2D84-B6B9-496B-BE49-E67521E9C14F}" type="parTrans" cxnId="{F56D4F2D-EFF1-4CD4-A97A-F3706DB5CDED}">
      <dgm:prSet/>
      <dgm:spPr/>
      <dgm:t>
        <a:bodyPr/>
        <a:lstStyle/>
        <a:p>
          <a:endParaRPr lang="cs-CZ" sz="1100">
            <a:solidFill>
              <a:schemeClr val="tx1"/>
            </a:solidFill>
            <a:latin typeface="+mn-lt"/>
          </a:endParaRPr>
        </a:p>
      </dgm:t>
    </dgm:pt>
    <dgm:pt modelId="{74E3FE3D-DBA8-4E21-90B1-6A321BF9BD00}" type="sibTrans" cxnId="{F56D4F2D-EFF1-4CD4-A97A-F3706DB5CDED}">
      <dgm:prSet/>
      <dgm:spPr/>
      <dgm:t>
        <a:bodyPr/>
        <a:lstStyle/>
        <a:p>
          <a:endParaRPr lang="cs-CZ" sz="1100">
            <a:solidFill>
              <a:schemeClr val="tx1"/>
            </a:solidFill>
            <a:latin typeface="+mn-lt"/>
          </a:endParaRPr>
        </a:p>
      </dgm:t>
    </dgm:pt>
    <dgm:pt modelId="{BD904549-FE81-4CA0-8705-3753AD6E111F}" type="pres">
      <dgm:prSet presAssocID="{4C8F3AB7-3BFD-4A3E-9ABE-5126D9434BAC}" presName="Name0" presStyleCnt="0">
        <dgm:presLayoutVars>
          <dgm:dir/>
          <dgm:resizeHandles val="exact"/>
        </dgm:presLayoutVars>
      </dgm:prSet>
      <dgm:spPr/>
    </dgm:pt>
    <dgm:pt modelId="{C5F9C07F-260D-433C-A131-D3305A14C818}" type="pres">
      <dgm:prSet presAssocID="{4C8F3AB7-3BFD-4A3E-9ABE-5126D9434BAC}" presName="vNodes" presStyleCnt="0"/>
      <dgm:spPr/>
    </dgm:pt>
    <dgm:pt modelId="{DBCF12CF-9165-46E7-BE0B-2B7BF2208571}" type="pres">
      <dgm:prSet presAssocID="{5DB09C96-C1A8-4611-A96D-B21C31274BC9}" presName="node" presStyleLbl="node1" presStyleIdx="0" presStyleCnt="3">
        <dgm:presLayoutVars>
          <dgm:bulletEnabled val="1"/>
        </dgm:presLayoutVars>
      </dgm:prSet>
      <dgm:spPr/>
    </dgm:pt>
    <dgm:pt modelId="{1F4C43BC-AF82-4DDA-96A2-F7C9A03FF022}" type="pres">
      <dgm:prSet presAssocID="{292DE613-F0D8-413B-A621-2262F464C142}" presName="spacerT" presStyleCnt="0"/>
      <dgm:spPr/>
    </dgm:pt>
    <dgm:pt modelId="{01E66AA7-8DBB-4D93-A9C1-1CA1D4067AF0}" type="pres">
      <dgm:prSet presAssocID="{292DE613-F0D8-413B-A621-2262F464C142}" presName="sibTrans" presStyleLbl="sibTrans2D1" presStyleIdx="0" presStyleCnt="2"/>
      <dgm:spPr/>
    </dgm:pt>
    <dgm:pt modelId="{4DC9A454-DC4C-4E9E-8A2D-5774F52A9112}" type="pres">
      <dgm:prSet presAssocID="{292DE613-F0D8-413B-A621-2262F464C142}" presName="spacerB" presStyleCnt="0"/>
      <dgm:spPr/>
    </dgm:pt>
    <dgm:pt modelId="{32B405EC-C15D-4AB1-81F5-205AF071CF4A}" type="pres">
      <dgm:prSet presAssocID="{7A11CBC8-FC55-4B5C-B6F1-D97CB0B44303}" presName="node" presStyleLbl="node1" presStyleIdx="1" presStyleCnt="3">
        <dgm:presLayoutVars>
          <dgm:bulletEnabled val="1"/>
        </dgm:presLayoutVars>
      </dgm:prSet>
      <dgm:spPr/>
    </dgm:pt>
    <dgm:pt modelId="{C89E7D73-130A-4F8B-8021-C9E952BA57EF}" type="pres">
      <dgm:prSet presAssocID="{4C8F3AB7-3BFD-4A3E-9ABE-5126D9434BAC}" presName="sibTransLast" presStyleLbl="sibTrans2D1" presStyleIdx="1" presStyleCnt="2"/>
      <dgm:spPr/>
    </dgm:pt>
    <dgm:pt modelId="{4ABEBB3A-1538-48D8-9A6E-283FB547CC48}" type="pres">
      <dgm:prSet presAssocID="{4C8F3AB7-3BFD-4A3E-9ABE-5126D9434BAC}" presName="connectorText" presStyleLbl="sibTrans2D1" presStyleIdx="1" presStyleCnt="2"/>
      <dgm:spPr/>
    </dgm:pt>
    <dgm:pt modelId="{C3838B08-959C-412B-B003-4324C025EF97}" type="pres">
      <dgm:prSet presAssocID="{4C8F3AB7-3BFD-4A3E-9ABE-5126D9434BAC}" presName="lastNode" presStyleLbl="node1" presStyleIdx="2" presStyleCnt="3">
        <dgm:presLayoutVars>
          <dgm:bulletEnabled val="1"/>
        </dgm:presLayoutVars>
      </dgm:prSet>
      <dgm:spPr/>
    </dgm:pt>
  </dgm:ptLst>
  <dgm:cxnLst>
    <dgm:cxn modelId="{F56D4F2D-EFF1-4CD4-A97A-F3706DB5CDED}" srcId="{4C8F3AB7-3BFD-4A3E-9ABE-5126D9434BAC}" destId="{60D7B83A-8A78-4978-AE6B-88C4980B21C1}" srcOrd="2" destOrd="0" parTransId="{7ADE2D84-B6B9-496B-BE49-E67521E9C14F}" sibTransId="{74E3FE3D-DBA8-4E21-90B1-6A321BF9BD00}"/>
    <dgm:cxn modelId="{0C029530-831D-4B9D-B945-499BCBF65EF7}" type="presOf" srcId="{4C8F3AB7-3BFD-4A3E-9ABE-5126D9434BAC}" destId="{BD904549-FE81-4CA0-8705-3753AD6E111F}" srcOrd="0" destOrd="0" presId="urn:microsoft.com/office/officeart/2005/8/layout/equation2"/>
    <dgm:cxn modelId="{B58AD531-2814-433D-BB5A-8386EB765EEE}" type="presOf" srcId="{5DB09C96-C1A8-4611-A96D-B21C31274BC9}" destId="{DBCF12CF-9165-46E7-BE0B-2B7BF2208571}" srcOrd="0" destOrd="0" presId="urn:microsoft.com/office/officeart/2005/8/layout/equation2"/>
    <dgm:cxn modelId="{DD85FC32-DFCE-4BB0-B1D8-871AAC42E543}" type="presOf" srcId="{292DE613-F0D8-413B-A621-2262F464C142}" destId="{01E66AA7-8DBB-4D93-A9C1-1CA1D4067AF0}" srcOrd="0" destOrd="0" presId="urn:microsoft.com/office/officeart/2005/8/layout/equation2"/>
    <dgm:cxn modelId="{C0295535-F5AE-4B5B-B205-9AF8165DBE6C}" type="presOf" srcId="{60D7B83A-8A78-4978-AE6B-88C4980B21C1}" destId="{C3838B08-959C-412B-B003-4324C025EF97}" srcOrd="0" destOrd="0" presId="urn:microsoft.com/office/officeart/2005/8/layout/equation2"/>
    <dgm:cxn modelId="{BC03B470-848E-4A49-9E30-E4C4946896D1}" type="presOf" srcId="{0941816D-F847-4832-93D3-46BB52A795EE}" destId="{C89E7D73-130A-4F8B-8021-C9E952BA57EF}" srcOrd="0" destOrd="0" presId="urn:microsoft.com/office/officeart/2005/8/layout/equation2"/>
    <dgm:cxn modelId="{1B9CDC9B-35C5-46CE-B7C6-38CB30D372B6}" type="presOf" srcId="{0941816D-F847-4832-93D3-46BB52A795EE}" destId="{4ABEBB3A-1538-48D8-9A6E-283FB547CC48}" srcOrd="1" destOrd="0" presId="urn:microsoft.com/office/officeart/2005/8/layout/equation2"/>
    <dgm:cxn modelId="{4944A4BE-1BCF-4792-9569-328FB514C536}" type="presOf" srcId="{7A11CBC8-FC55-4B5C-B6F1-D97CB0B44303}" destId="{32B405EC-C15D-4AB1-81F5-205AF071CF4A}" srcOrd="0" destOrd="0" presId="urn:microsoft.com/office/officeart/2005/8/layout/equation2"/>
    <dgm:cxn modelId="{3A6A86C6-62D2-490D-A62B-82EB94AD086C}" srcId="{4C8F3AB7-3BFD-4A3E-9ABE-5126D9434BAC}" destId="{7A11CBC8-FC55-4B5C-B6F1-D97CB0B44303}" srcOrd="1" destOrd="0" parTransId="{723C7FF7-F219-48BD-8D53-72CA5C01B745}" sibTransId="{0941816D-F847-4832-93D3-46BB52A795EE}"/>
    <dgm:cxn modelId="{30ED1BD8-6D72-4363-8722-8CCE40272289}" srcId="{4C8F3AB7-3BFD-4A3E-9ABE-5126D9434BAC}" destId="{5DB09C96-C1A8-4611-A96D-B21C31274BC9}" srcOrd="0" destOrd="0" parTransId="{AFC99702-02FD-43D0-87B1-7990D7BD5CB7}" sibTransId="{292DE613-F0D8-413B-A621-2262F464C142}"/>
    <dgm:cxn modelId="{99653CBE-74FC-46E4-B1D6-F44DCE9F2F0B}" type="presParOf" srcId="{BD904549-FE81-4CA0-8705-3753AD6E111F}" destId="{C5F9C07F-260D-433C-A131-D3305A14C818}" srcOrd="0" destOrd="0" presId="urn:microsoft.com/office/officeart/2005/8/layout/equation2"/>
    <dgm:cxn modelId="{13C620A3-6A69-4DF7-B186-E3F0B2E779B9}" type="presParOf" srcId="{C5F9C07F-260D-433C-A131-D3305A14C818}" destId="{DBCF12CF-9165-46E7-BE0B-2B7BF2208571}" srcOrd="0" destOrd="0" presId="urn:microsoft.com/office/officeart/2005/8/layout/equation2"/>
    <dgm:cxn modelId="{0D4C5264-293A-4D85-B1F2-9CC0DC491A55}" type="presParOf" srcId="{C5F9C07F-260D-433C-A131-D3305A14C818}" destId="{1F4C43BC-AF82-4DDA-96A2-F7C9A03FF022}" srcOrd="1" destOrd="0" presId="urn:microsoft.com/office/officeart/2005/8/layout/equation2"/>
    <dgm:cxn modelId="{ED010801-D1A0-4229-BEA3-1BC5263C69F8}" type="presParOf" srcId="{C5F9C07F-260D-433C-A131-D3305A14C818}" destId="{01E66AA7-8DBB-4D93-A9C1-1CA1D4067AF0}" srcOrd="2" destOrd="0" presId="urn:microsoft.com/office/officeart/2005/8/layout/equation2"/>
    <dgm:cxn modelId="{C9F291EA-79A3-430D-8906-5CCBB4204288}" type="presParOf" srcId="{C5F9C07F-260D-433C-A131-D3305A14C818}" destId="{4DC9A454-DC4C-4E9E-8A2D-5774F52A9112}" srcOrd="3" destOrd="0" presId="urn:microsoft.com/office/officeart/2005/8/layout/equation2"/>
    <dgm:cxn modelId="{0CDE9AFB-CB19-4C2D-8567-A9280FFC1F23}" type="presParOf" srcId="{C5F9C07F-260D-433C-A131-D3305A14C818}" destId="{32B405EC-C15D-4AB1-81F5-205AF071CF4A}" srcOrd="4" destOrd="0" presId="urn:microsoft.com/office/officeart/2005/8/layout/equation2"/>
    <dgm:cxn modelId="{5708720F-7537-4138-AF85-C26AEF0422A3}" type="presParOf" srcId="{BD904549-FE81-4CA0-8705-3753AD6E111F}" destId="{C89E7D73-130A-4F8B-8021-C9E952BA57EF}" srcOrd="1" destOrd="0" presId="urn:microsoft.com/office/officeart/2005/8/layout/equation2"/>
    <dgm:cxn modelId="{1968AE30-FA85-4282-A58A-84F8280C6CAB}" type="presParOf" srcId="{C89E7D73-130A-4F8B-8021-C9E952BA57EF}" destId="{4ABEBB3A-1538-48D8-9A6E-283FB547CC48}" srcOrd="0" destOrd="0" presId="urn:microsoft.com/office/officeart/2005/8/layout/equation2"/>
    <dgm:cxn modelId="{9A0D969C-9EA1-4D2E-9FAE-39FBACB0499F}" type="presParOf" srcId="{BD904549-FE81-4CA0-8705-3753AD6E111F}" destId="{C3838B08-959C-412B-B003-4324C025EF97}" srcOrd="2" destOrd="0" presId="urn:microsoft.com/office/officeart/2005/8/layout/equation2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BCF12CF-9165-46E7-BE0B-2B7BF2208571}">
      <dsp:nvSpPr>
        <dsp:cNvPr id="0" name=""/>
        <dsp:cNvSpPr/>
      </dsp:nvSpPr>
      <dsp:spPr>
        <a:xfrm>
          <a:off x="99555" y="234"/>
          <a:ext cx="775130" cy="775130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dk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3970" tIns="13970" rIns="13970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1100" kern="1200" dirty="0">
              <a:latin typeface="+mn-lt"/>
            </a:rPr>
            <a:t>Stav financí</a:t>
          </a:r>
        </a:p>
      </dsp:txBody>
      <dsp:txXfrm>
        <a:off x="213070" y="113749"/>
        <a:ext cx="548100" cy="548100"/>
      </dsp:txXfrm>
    </dsp:sp>
    <dsp:sp modelId="{01E66AA7-8DBB-4D93-A9C1-1CA1D4067AF0}">
      <dsp:nvSpPr>
        <dsp:cNvPr id="0" name=""/>
        <dsp:cNvSpPr/>
      </dsp:nvSpPr>
      <dsp:spPr>
        <a:xfrm>
          <a:off x="262332" y="838305"/>
          <a:ext cx="449575" cy="449575"/>
        </a:xfrm>
        <a:prstGeom prst="mathPlus">
          <a:avLst/>
        </a:prstGeom>
        <a:solidFill>
          <a:schemeClr val="dk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cs-CZ" sz="1100" kern="1200">
            <a:solidFill>
              <a:schemeClr val="tx1"/>
            </a:solidFill>
            <a:latin typeface="+mn-lt"/>
          </a:endParaRPr>
        </a:p>
      </dsp:txBody>
      <dsp:txXfrm>
        <a:off x="321923" y="1010222"/>
        <a:ext cx="330393" cy="105741"/>
      </dsp:txXfrm>
    </dsp:sp>
    <dsp:sp modelId="{32B405EC-C15D-4AB1-81F5-205AF071CF4A}">
      <dsp:nvSpPr>
        <dsp:cNvPr id="0" name=""/>
        <dsp:cNvSpPr/>
      </dsp:nvSpPr>
      <dsp:spPr>
        <a:xfrm>
          <a:off x="99555" y="1350821"/>
          <a:ext cx="775130" cy="775130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dk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3970" tIns="13970" rIns="13970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1100" kern="1200" dirty="0">
              <a:latin typeface="+mn-lt"/>
            </a:rPr>
            <a:t>Finanční kondice</a:t>
          </a:r>
        </a:p>
      </dsp:txBody>
      <dsp:txXfrm>
        <a:off x="213070" y="1464336"/>
        <a:ext cx="548100" cy="548100"/>
      </dsp:txXfrm>
    </dsp:sp>
    <dsp:sp modelId="{C89E7D73-130A-4F8B-8021-C9E952BA57EF}">
      <dsp:nvSpPr>
        <dsp:cNvPr id="0" name=""/>
        <dsp:cNvSpPr/>
      </dsp:nvSpPr>
      <dsp:spPr>
        <a:xfrm>
          <a:off x="990955" y="918919"/>
          <a:ext cx="246491" cy="288348"/>
        </a:xfrm>
        <a:prstGeom prst="rightArrow">
          <a:avLst>
            <a:gd name="adj1" fmla="val 60000"/>
            <a:gd name="adj2" fmla="val 50000"/>
          </a:avLst>
        </a:prstGeom>
        <a:solidFill>
          <a:schemeClr val="dk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cs-CZ" sz="1100" kern="1200">
            <a:solidFill>
              <a:schemeClr val="tx1"/>
            </a:solidFill>
            <a:latin typeface="+mn-lt"/>
          </a:endParaRPr>
        </a:p>
      </dsp:txBody>
      <dsp:txXfrm>
        <a:off x="990955" y="976589"/>
        <a:ext cx="172544" cy="173008"/>
      </dsp:txXfrm>
    </dsp:sp>
    <dsp:sp modelId="{C3838B08-959C-412B-B003-4324C025EF97}">
      <dsp:nvSpPr>
        <dsp:cNvPr id="0" name=""/>
        <dsp:cNvSpPr/>
      </dsp:nvSpPr>
      <dsp:spPr>
        <a:xfrm>
          <a:off x="1339763" y="287963"/>
          <a:ext cx="1550260" cy="1550260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dk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3970" tIns="13970" rIns="13970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1100" kern="1200" dirty="0">
              <a:latin typeface="+mn-lt"/>
            </a:rPr>
            <a:t>Rating</a:t>
          </a:r>
        </a:p>
      </dsp:txBody>
      <dsp:txXfrm>
        <a:off x="1566793" y="514993"/>
        <a:ext cx="1096200" cy="109620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equation2">
  <dgm:title val=""/>
  <dgm:desc val=""/>
  <dgm:catLst>
    <dgm:cat type="relationship" pri="18000"/>
    <dgm:cat type="process" pri="2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>
          <dgm:param type="linDir" val="fromL"/>
          <dgm:param type="fallback" val="2D"/>
        </dgm:alg>
      </dgm:if>
      <dgm:else name="Name3">
        <dgm:alg type="lin">
          <dgm:param type="linDir" val="fromR"/>
          <dgm:param type="fallback" val="2D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ch" ptType="node" func="cnt" op="gte" val="3">
        <dgm:constrLst>
          <dgm:constr type="h" for="des" forName="node" refType="w" fact="0.5"/>
          <dgm:constr type="w" for="ch" forName="lastNode" refType="w"/>
          <dgm:constr type="w" for="des" forName="node" refType="h" refFor="des" refForName="node"/>
          <dgm:constr type="w" for="ch" forName="sibTransLast" refType="h" refFor="des" refForName="node" fact="0.6"/>
          <dgm:constr type="h" for="des" forName="sibTrans" refType="h" refFor="des" refForName="node" op="equ" fact="0.58"/>
          <dgm:constr type="w" for="des" forName="sibTrans" refType="h" refFor="des" refForName="sibTrans" op="equ"/>
          <dgm:constr type="primFontSz" for="ch" forName="lastNode" op="equ" val="65"/>
          <dgm:constr type="primFontSz" for="des" forName="node" op="equ" val="65"/>
          <dgm:constr type="primFontSz" for="des" forName="sibTrans" val="55"/>
          <dgm:constr type="primFontSz" for="des" forName="sibTrans" refType="primFontSz" refFor="des" refForName="node" op="lte" fact="0.8"/>
          <dgm:constr type="primFontSz" for="des" forName="connectorText" refType="primFontSz" refFor="des" refForName="node" op="lte" fact="0.8"/>
          <dgm:constr type="primFontSz" for="des" forName="connectorText" refType="primFontSz" refFor="des" refForName="sibTrans" op="equ"/>
          <dgm:constr type="h" for="des" forName="spacerT" refType="h" refFor="des" refForName="sibTrans" fact="0.14"/>
          <dgm:constr type="h" for="des" forName="spacerB" refType="h" refFor="des" refForName="sibTrans" fact="0.14"/>
        </dgm:constrLst>
      </dgm:if>
      <dgm:else name="Name6">
        <dgm:constrLst>
          <dgm:constr type="h" for="des" forName="node" refType="w"/>
          <dgm:constr type="w" for="ch" forName="lastNode" refType="w"/>
          <dgm:constr type="w" for="des" forName="node" refType="h" refFor="des" refForName="node"/>
          <dgm:constr type="w" for="ch" forName="sibTransLast" refType="h" refFor="des" refForName="node" fact="0.6"/>
          <dgm:constr type="h" for="des" forName="sibTrans" refType="h" refFor="des" refForName="node" op="equ" fact="0.58"/>
          <dgm:constr type="w" for="des" forName="sibTrans" refType="h" refFor="des" refForName="sibTrans" op="equ"/>
          <dgm:constr type="primFontSz" for="des" forName="node" val="65"/>
          <dgm:constr type="primFontSz" for="ch" forName="lastNode" refType="primFontSz" refFor="des" refForName="node" op="equ"/>
          <dgm:constr type="primFontSz" for="des" forName="sibTrans" val="55"/>
          <dgm:constr type="primFontSz" for="des" forName="connectorText" refType="primFontSz" refFor="des" refForName="node" op="lte" fact="0.8"/>
          <dgm:constr type="primFontSz" for="des" forName="connectorText" refType="primFontSz" refFor="des" refForName="sibTrans" op="equ"/>
          <dgm:constr type="h" for="des" forName="spacerT" refType="h" refFor="des" refForName="sibTrans" fact="0.14"/>
          <dgm:constr type="h" for="des" forName="spacerB" refType="h" refFor="des" refForName="sibTrans" fact="0.14"/>
        </dgm:constrLst>
      </dgm:else>
    </dgm:choose>
    <dgm:ruleLst/>
    <dgm:choose name="Name7">
      <dgm:if name="Name8" axis="ch" ptType="node" func="cnt" op="gte" val="1">
        <dgm:layoutNode name="vNodes">
          <dgm:alg type="lin">
            <dgm:param type="linDir" val="fromT"/>
            <dgm:param type="fallback" val="2D"/>
          </dgm:alg>
          <dgm:shape xmlns:r="http://schemas.openxmlformats.org/officeDocument/2006/relationships" r:blip="">
            <dgm:adjLst/>
          </dgm:shape>
          <dgm:presOf/>
          <dgm:constrLst/>
          <dgm:ruleLst/>
          <dgm:forEach name="Name9" axis="ch" ptType="node">
            <dgm:choose name="Name10">
              <dgm:if name="Name11" axis="self" func="revPos" op="neq" val="1">
                <dgm:layoutNode name="node">
                  <dgm:varLst>
                    <dgm:bulletEnabled val="1"/>
                  </dgm:varLst>
                  <dgm:alg type="tx">
                    <dgm:param type="txAnchorVertCh" val="mid"/>
                  </dgm:alg>
                  <dgm:shape xmlns:r="http://schemas.openxmlformats.org/officeDocument/2006/relationships" type="ellipse" r:blip="">
                    <dgm:adjLst/>
                  </dgm:shape>
                  <dgm:presOf axis="desOrSelf" ptType="node"/>
                  <dgm:constrLst>
                    <dgm:constr type="tMarg" refType="primFontSz" fact="0.1"/>
                    <dgm:constr type="bMarg" refType="primFontSz" fact="0.1"/>
                    <dgm:constr type="lMarg" refType="primFontSz" fact="0.1"/>
                    <dgm:constr type="rMarg" refType="primFontSz" fact="0.1"/>
                  </dgm:constrLst>
                  <dgm:ruleLst>
                    <dgm:rule type="primFontSz" val="5" fact="NaN" max="NaN"/>
                  </dgm:ruleLst>
                </dgm:layoutNode>
                <dgm:choose name="Name12">
                  <dgm:if name="Name13" axis="self" ptType="node" func="revPos" op="gt" val="2">
                    <dgm:forEach name="sibTransForEach" axis="followSib" ptType="sibTrans" cnt="1">
                      <dgm:layoutNode name="spacerT">
                        <dgm:alg type="sp"/>
                        <dgm:shape xmlns:r="http://schemas.openxmlformats.org/officeDocument/2006/relationships" r:blip="">
                          <dgm:adjLst/>
                        </dgm:shape>
                        <dgm:presOf axis="self"/>
                        <dgm:constrLst/>
                        <dgm:ruleLst/>
                      </dgm:layoutNode>
                      <dgm:layoutNode name="sibTrans">
                        <dgm:alg type="tx"/>
                        <dgm:shape xmlns:r="http://schemas.openxmlformats.org/officeDocument/2006/relationships" type="mathPlus" r:blip="">
                          <dgm:adjLst/>
                        </dgm:shape>
                        <dgm:presOf axis="self"/>
                        <dgm:constrLst>
                          <dgm:constr type="h" refType="w"/>
                          <dgm:constr type="lMarg"/>
                          <dgm:constr type="rMarg"/>
                          <dgm:constr type="tMarg"/>
                          <dgm:constr type="bMarg"/>
                        </dgm:constrLst>
                        <dgm:ruleLst>
                          <dgm:rule type="primFontSz" val="5" fact="NaN" max="NaN"/>
                        </dgm:ruleLst>
                      </dgm:layoutNode>
                      <dgm:layoutNode name="spacerB">
                        <dgm:alg type="sp"/>
                        <dgm:shape xmlns:r="http://schemas.openxmlformats.org/officeDocument/2006/relationships" r:blip="">
                          <dgm:adjLst/>
                        </dgm:shape>
                        <dgm:presOf axis="self"/>
                        <dgm:constrLst/>
                        <dgm:ruleLst/>
                      </dgm:layoutNode>
                    </dgm:forEach>
                  </dgm:if>
                  <dgm:else name="Name14"/>
                </dgm:choose>
              </dgm:if>
              <dgm:else name="Name15"/>
            </dgm:choose>
          </dgm:forEach>
        </dgm:layoutNode>
        <dgm:choose name="Name16">
          <dgm:if name="Name17" axis="ch" ptType="node" func="cnt" op="gt" val="1">
            <dgm:layoutNode name="sibTransLast">
              <dgm:alg type="conn">
                <dgm:param type="begPts" val="auto"/>
                <dgm:param type="endPts" val="auto"/>
                <dgm:param type="srcNode" val="vNodes"/>
                <dgm:param type="dstNode" val="lastNode"/>
              </dgm:alg>
              <dgm:shape xmlns:r="http://schemas.openxmlformats.org/officeDocument/2006/relationships" type="conn" r:blip="">
                <dgm:adjLst/>
              </dgm:shape>
              <dgm:presOf axis="ch" ptType="sibTrans" st="-1" cnt="1"/>
              <dgm:constrLst>
                <dgm:constr type="h" refType="w" fact="0.62"/>
                <dgm:constr type="connDist"/>
                <dgm:constr type="begPad" refType="connDist" fact="0.25"/>
                <dgm:constr type="endPad" refType="connDist" fact="0.22"/>
              </dgm:constrLst>
              <dgm:ruleLst/>
              <dgm:layoutNode name="connectorText">
                <dgm:alg type="tx">
                  <dgm:param type="autoTxRot" val="grav"/>
                </dgm:alg>
                <dgm:shape xmlns:r="http://schemas.openxmlformats.org/officeDocument/2006/relationships" type="conn" r:blip="" hideGeom="1">
                  <dgm:adjLst/>
                </dgm:shape>
                <dgm:presOf axis="ch desOrSelf" ptType="sibTrans sibTrans" st="-1 1" cnt="1 0"/>
                <dgm:constrLst>
                  <dgm:constr type="lMarg"/>
                  <dgm:constr type="rMarg"/>
                  <dgm:constr type="tMarg"/>
                  <dgm:constr type="bMarg"/>
                </dgm:constrLst>
                <dgm:ruleLst>
                  <dgm:rule type="primFontSz" val="5" fact="NaN" max="NaN"/>
                </dgm:ruleLst>
              </dgm:layoutNode>
            </dgm:layoutNode>
          </dgm:if>
          <dgm:else name="Name18"/>
        </dgm:choose>
        <dgm:layoutNode name="lastNode">
          <dgm:varLst>
            <dgm:bulletEnabled val="1"/>
          </dgm:varLst>
          <dgm:alg type="tx">
            <dgm:param type="txAnchorVertCh" val="mid"/>
          </dgm:alg>
          <dgm:shape xmlns:r="http://schemas.openxmlformats.org/officeDocument/2006/relationships" type="ellipse" r:blip="">
            <dgm:adjLst/>
          </dgm:shape>
          <dgm:presOf axis="ch desOrSelf" ptType="node node" st="-1 1" cnt="1 0"/>
          <dgm:constrLst>
            <dgm:constr type="h" refType="w"/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</dgm:if>
      <dgm:else name="Name19"/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11" Type="http://schemas.openxmlformats.org/officeDocument/2006/relationships/chart" Target="../charts/chart13.xml"/><Relationship Id="rId5" Type="http://schemas.openxmlformats.org/officeDocument/2006/relationships/chart" Target="../charts/chart7.xml"/><Relationship Id="rId10" Type="http://schemas.openxmlformats.org/officeDocument/2006/relationships/chart" Target="../charts/chart12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diagramLayout" Target="../diagrams/layout1.xml"/><Relationship Id="rId7" Type="http://schemas.openxmlformats.org/officeDocument/2006/relationships/image" Target="../media/image4.png"/><Relationship Id="rId2" Type="http://schemas.openxmlformats.org/officeDocument/2006/relationships/diagramData" Target="../diagrams/data1.xml"/><Relationship Id="rId1" Type="http://schemas.openxmlformats.org/officeDocument/2006/relationships/image" Target="../media/image3.png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10" Type="http://schemas.microsoft.com/office/2007/relationships/hdphoto" Target="../media/hdphoto1.wdp"/><Relationship Id="rId4" Type="http://schemas.openxmlformats.org/officeDocument/2006/relationships/diagramQuickStyle" Target="../diagrams/quickStyle1.xml"/><Relationship Id="rId9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0</xdr:colOff>
      <xdr:row>0</xdr:row>
      <xdr:rowOff>0</xdr:rowOff>
    </xdr:from>
    <xdr:to>
      <xdr:col>68</xdr:col>
      <xdr:colOff>128047</xdr:colOff>
      <xdr:row>97</xdr:row>
      <xdr:rowOff>60976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581FB35-468E-56F7-AFA6-EE52B80D8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04571" y="0"/>
          <a:ext cx="17019047" cy="201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1619250</xdr:colOff>
      <xdr:row>36</xdr:row>
      <xdr:rowOff>107950</xdr:rowOff>
    </xdr:from>
    <xdr:to>
      <xdr:col>15</xdr:col>
      <xdr:colOff>349250</xdr:colOff>
      <xdr:row>65</xdr:row>
      <xdr:rowOff>139700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6B75C8F-902F-4616-B142-820CE37DD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717550</xdr:colOff>
      <xdr:row>36</xdr:row>
      <xdr:rowOff>152401</xdr:rowOff>
    </xdr:from>
    <xdr:to>
      <xdr:col>15</xdr:col>
      <xdr:colOff>270212</xdr:colOff>
      <xdr:row>37</xdr:row>
      <xdr:rowOff>181006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1E9EEAEA-01FC-4539-BDF6-14DE825A1E2F}"/>
            </a:ext>
          </a:extLst>
        </xdr:cNvPr>
        <xdr:cNvSpPr txBox="1"/>
      </xdr:nvSpPr>
      <xdr:spPr>
        <a:xfrm>
          <a:off x="11360150" y="7264401"/>
          <a:ext cx="1165562" cy="2127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cs-CZ" sz="800" b="0">
              <a:solidFill>
                <a:sysClr val="windowText" lastClr="000000"/>
              </a:solidFill>
            </a:rPr>
            <a:t>www.cityfinance.cz</a:t>
          </a:r>
        </a:p>
      </xdr:txBody>
    </xdr:sp>
    <xdr:clientData/>
  </xdr:twoCellAnchor>
  <xdr:twoCellAnchor>
    <xdr:from>
      <xdr:col>0</xdr:col>
      <xdr:colOff>2579610</xdr:colOff>
      <xdr:row>7</xdr:row>
      <xdr:rowOff>38847</xdr:rowOff>
    </xdr:from>
    <xdr:to>
      <xdr:col>15</xdr:col>
      <xdr:colOff>7471</xdr:colOff>
      <xdr:row>34</xdr:row>
      <xdr:rowOff>141941</xdr:rowOff>
    </xdr:to>
    <xdr:grpSp>
      <xdr:nvGrpSpPr>
        <xdr:cNvPr id="14" name="Skupina 13">
          <a:extLst>
            <a:ext uri="{FF2B5EF4-FFF2-40B4-BE49-F238E27FC236}">
              <a16:creationId xmlns:a16="http://schemas.microsoft.com/office/drawing/2014/main" id="{1961670E-F70F-4CE2-9CE5-31B35CD498A9}"/>
            </a:ext>
          </a:extLst>
        </xdr:cNvPr>
        <xdr:cNvGrpSpPr/>
      </xdr:nvGrpSpPr>
      <xdr:grpSpPr>
        <a:xfrm>
          <a:off x="2579610" y="1824318"/>
          <a:ext cx="9179096" cy="5145741"/>
          <a:chOff x="2303551" y="1739900"/>
          <a:chExt cx="8478749" cy="4813300"/>
        </a:xfrm>
      </xdr:grpSpPr>
      <xdr:graphicFrame macro="">
        <xdr:nvGraphicFramePr>
          <xdr:cNvPr id="4" name="Graf 3">
            <a:extLst>
              <a:ext uri="{FF2B5EF4-FFF2-40B4-BE49-F238E27FC236}">
                <a16:creationId xmlns:a16="http://schemas.microsoft.com/office/drawing/2014/main" id="{43BF036F-0AA3-4047-9759-B28198F27D28}"/>
              </a:ext>
            </a:extLst>
          </xdr:cNvPr>
          <xdr:cNvGraphicFramePr>
            <a:graphicFrameLocks/>
          </xdr:cNvGraphicFramePr>
        </xdr:nvGraphicFramePr>
        <xdr:xfrm>
          <a:off x="2303551" y="1739900"/>
          <a:ext cx="8478749" cy="48133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5" name="TextovéPole 4">
            <a:extLst>
              <a:ext uri="{FF2B5EF4-FFF2-40B4-BE49-F238E27FC236}">
                <a16:creationId xmlns:a16="http://schemas.microsoft.com/office/drawing/2014/main" id="{E3E0D796-51EB-40D7-9FDA-FEBFC3F587C8}"/>
              </a:ext>
            </a:extLst>
          </xdr:cNvPr>
          <xdr:cNvSpPr txBox="1"/>
        </xdr:nvSpPr>
        <xdr:spPr>
          <a:xfrm>
            <a:off x="2328133" y="6223001"/>
            <a:ext cx="4945233" cy="292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l"/>
            <a:r>
              <a:rPr lang="cs-CZ" sz="1200" b="0">
                <a:solidFill>
                  <a:sysClr val="windowText" lastClr="000000"/>
                </a:solidFill>
              </a:rPr>
              <a:t>www.cityfinance.cz 	*bez Prahy, Brna, Ostravy a</a:t>
            </a:r>
            <a:r>
              <a:rPr lang="cs-CZ" sz="1200" b="0" baseline="0">
                <a:solidFill>
                  <a:sysClr val="windowText" lastClr="000000"/>
                </a:solidFill>
              </a:rPr>
              <a:t> Plzně</a:t>
            </a:r>
            <a:endParaRPr lang="cs-CZ" sz="1200" b="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Šipka: doprava, šrafovaná 6">
            <a:extLst>
              <a:ext uri="{FF2B5EF4-FFF2-40B4-BE49-F238E27FC236}">
                <a16:creationId xmlns:a16="http://schemas.microsoft.com/office/drawing/2014/main" id="{168C5005-CF38-0D16-9619-EAE886A1669E}"/>
              </a:ext>
            </a:extLst>
          </xdr:cNvPr>
          <xdr:cNvSpPr/>
        </xdr:nvSpPr>
        <xdr:spPr>
          <a:xfrm>
            <a:off x="8042003" y="2631197"/>
            <a:ext cx="865118" cy="539750"/>
          </a:xfrm>
          <a:prstGeom prst="striped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cs-CZ" sz="1100" b="1"/>
              <a:t>Výhled</a:t>
            </a:r>
          </a:p>
        </xdr:txBody>
      </xdr:sp>
      <xdr:cxnSp macro="">
        <xdr:nvCxnSpPr>
          <xdr:cNvPr id="9" name="Přímá spojnice 8">
            <a:extLst>
              <a:ext uri="{FF2B5EF4-FFF2-40B4-BE49-F238E27FC236}">
                <a16:creationId xmlns:a16="http://schemas.microsoft.com/office/drawing/2014/main" id="{6425F4FC-A8AF-A5DC-A1EE-BDB0DD0AEBCF}"/>
              </a:ext>
            </a:extLst>
          </xdr:cNvPr>
          <xdr:cNvCxnSpPr/>
        </xdr:nvCxnSpPr>
        <xdr:spPr>
          <a:xfrm>
            <a:off x="8010988" y="2714487"/>
            <a:ext cx="35990" cy="2540000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41562</xdr:colOff>
      <xdr:row>16</xdr:row>
      <xdr:rowOff>180109</xdr:rowOff>
    </xdr:from>
    <xdr:to>
      <xdr:col>26</xdr:col>
      <xdr:colOff>332509</xdr:colOff>
      <xdr:row>56</xdr:row>
      <xdr:rowOff>83125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27709</xdr:colOff>
      <xdr:row>58</xdr:row>
      <xdr:rowOff>124691</xdr:rowOff>
    </xdr:from>
    <xdr:to>
      <xdr:col>9</xdr:col>
      <xdr:colOff>540326</xdr:colOff>
      <xdr:row>66</xdr:row>
      <xdr:rowOff>74220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152395</xdr:colOff>
      <xdr:row>38</xdr:row>
      <xdr:rowOff>113802</xdr:rowOff>
    </xdr:from>
    <xdr:to>
      <xdr:col>39</xdr:col>
      <xdr:colOff>263236</xdr:colOff>
      <xdr:row>64</xdr:row>
      <xdr:rowOff>68282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65313</xdr:colOff>
      <xdr:row>69</xdr:row>
      <xdr:rowOff>130631</xdr:rowOff>
    </xdr:from>
    <xdr:to>
      <xdr:col>13</xdr:col>
      <xdr:colOff>540326</xdr:colOff>
      <xdr:row>102</xdr:row>
      <xdr:rowOff>96983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423257</xdr:colOff>
      <xdr:row>70</xdr:row>
      <xdr:rowOff>4946</xdr:rowOff>
    </xdr:from>
    <xdr:to>
      <xdr:col>13</xdr:col>
      <xdr:colOff>509650</xdr:colOff>
      <xdr:row>71</xdr:row>
      <xdr:rowOff>96982</xdr:rowOff>
    </xdr:to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7973984" y="15064837"/>
          <a:ext cx="1319448" cy="258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cs-CZ" sz="1100" b="0"/>
            <a:t>www.cityfinance.cz</a:t>
          </a:r>
        </a:p>
      </xdr:txBody>
    </xdr:sp>
    <xdr:clientData/>
  </xdr:twoCellAnchor>
  <xdr:twoCellAnchor>
    <xdr:from>
      <xdr:col>16</xdr:col>
      <xdr:colOff>383966</xdr:colOff>
      <xdr:row>74</xdr:row>
      <xdr:rowOff>41561</xdr:rowOff>
    </xdr:from>
    <xdr:to>
      <xdr:col>31</xdr:col>
      <xdr:colOff>2177141</xdr:colOff>
      <xdr:row>95</xdr:row>
      <xdr:rowOff>98959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211776</xdr:colOff>
      <xdr:row>62</xdr:row>
      <xdr:rowOff>97971</xdr:rowOff>
    </xdr:from>
    <xdr:to>
      <xdr:col>31</xdr:col>
      <xdr:colOff>2262247</xdr:colOff>
      <xdr:row>64</xdr:row>
      <xdr:rowOff>46513</xdr:rowOff>
    </xdr:to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0052462" y="12377057"/>
          <a:ext cx="2050471" cy="275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cs-CZ" sz="1000" b="0"/>
            <a:t>www.cityfinance.cz</a:t>
          </a:r>
        </a:p>
      </xdr:txBody>
    </xdr:sp>
    <xdr:clientData/>
  </xdr:twoCellAnchor>
  <xdr:twoCellAnchor>
    <xdr:from>
      <xdr:col>42</xdr:col>
      <xdr:colOff>27708</xdr:colOff>
      <xdr:row>63</xdr:row>
      <xdr:rowOff>69273</xdr:rowOff>
    </xdr:from>
    <xdr:to>
      <xdr:col>60</xdr:col>
      <xdr:colOff>526473</xdr:colOff>
      <xdr:row>88</xdr:row>
      <xdr:rowOff>76606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306294</xdr:colOff>
      <xdr:row>101</xdr:row>
      <xdr:rowOff>90054</xdr:rowOff>
    </xdr:from>
    <xdr:to>
      <xdr:col>42</xdr:col>
      <xdr:colOff>600363</xdr:colOff>
      <xdr:row>167</xdr:row>
      <xdr:rowOff>11545</xdr:rowOff>
    </xdr:to>
    <xdr:grpSp>
      <xdr:nvGrpSpPr>
        <xdr:cNvPr id="6" name="Skupina 5">
          <a:extLst>
            <a:ext uri="{FF2B5EF4-FFF2-40B4-BE49-F238E27FC236}">
              <a16:creationId xmlns:a16="http://schemas.microsoft.com/office/drawing/2014/main" id="{F16C3D65-ED21-9942-A2B2-2057911AD5DD}"/>
            </a:ext>
          </a:extLst>
        </xdr:cNvPr>
        <xdr:cNvGrpSpPr/>
      </xdr:nvGrpSpPr>
      <xdr:grpSpPr>
        <a:xfrm>
          <a:off x="16862476" y="18655145"/>
          <a:ext cx="18582069" cy="10589491"/>
          <a:chOff x="14080021" y="18828327"/>
          <a:chExt cx="19208648" cy="9077036"/>
        </a:xfrm>
      </xdr:grpSpPr>
      <xdr:graphicFrame macro="">
        <xdr:nvGraphicFramePr>
          <xdr:cNvPr id="15" name="Graf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GraphicFramePr/>
        </xdr:nvGraphicFramePr>
        <xdr:xfrm>
          <a:off x="14080021" y="18828327"/>
          <a:ext cx="19208648" cy="907703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sp macro="" textlink="">
        <xdr:nvSpPr>
          <xdr:cNvPr id="14" name="TextovéPole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/>
        </xdr:nvSpPr>
        <xdr:spPr>
          <a:xfrm>
            <a:off x="14127359" y="18903371"/>
            <a:ext cx="2872426" cy="2567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l"/>
            <a:r>
              <a:rPr lang="cs-CZ" sz="1100" b="0"/>
              <a:t>www.cityfinance.cz</a:t>
            </a:r>
          </a:p>
        </xdr:txBody>
      </xdr:sp>
    </xdr:grpSp>
    <xdr:clientData/>
  </xdr:twoCellAnchor>
  <xdr:twoCellAnchor>
    <xdr:from>
      <xdr:col>30</xdr:col>
      <xdr:colOff>506432</xdr:colOff>
      <xdr:row>64</xdr:row>
      <xdr:rowOff>1108364</xdr:rowOff>
    </xdr:from>
    <xdr:to>
      <xdr:col>42</xdr:col>
      <xdr:colOff>101433</xdr:colOff>
      <xdr:row>89</xdr:row>
      <xdr:rowOff>137805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30</xdr:col>
      <xdr:colOff>408667</xdr:colOff>
      <xdr:row>11</xdr:row>
      <xdr:rowOff>69273</xdr:rowOff>
    </xdr:from>
    <xdr:to>
      <xdr:col>39</xdr:col>
      <xdr:colOff>787127</xdr:colOff>
      <xdr:row>31</xdr:row>
      <xdr:rowOff>152401</xdr:rowOff>
    </xdr:to>
    <xdr:grpSp>
      <xdr:nvGrpSpPr>
        <xdr:cNvPr id="3" name="Skupina 2">
          <a:extLst>
            <a:ext uri="{FF2B5EF4-FFF2-40B4-BE49-F238E27FC236}">
              <a16:creationId xmlns:a16="http://schemas.microsoft.com/office/drawing/2014/main" id="{79532D31-44E6-853C-3EC9-0B667B1895F3}"/>
            </a:ext>
          </a:extLst>
        </xdr:cNvPr>
        <xdr:cNvGrpSpPr/>
      </xdr:nvGrpSpPr>
      <xdr:grpSpPr>
        <a:xfrm>
          <a:off x="25554667" y="2413000"/>
          <a:ext cx="7652096" cy="3708401"/>
          <a:chOff x="11988758" y="2574463"/>
          <a:chExt cx="9037550" cy="3685482"/>
        </a:xfrm>
      </xdr:grpSpPr>
      <xdr:graphicFrame macro="">
        <xdr:nvGraphicFramePr>
          <xdr:cNvPr id="11" name="Chart 2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GraphicFramePr>
            <a:graphicFrameLocks/>
          </xdr:cNvGraphicFramePr>
        </xdr:nvGraphicFramePr>
        <xdr:xfrm>
          <a:off x="11988758" y="2588161"/>
          <a:ext cx="9037550" cy="367178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sp macro="" textlink="">
        <xdr:nvSpPr>
          <xdr:cNvPr id="17" name="TextovéPole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 txBox="1"/>
        </xdr:nvSpPr>
        <xdr:spPr>
          <a:xfrm>
            <a:off x="18948472" y="2574463"/>
            <a:ext cx="2061947" cy="2928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r"/>
            <a:r>
              <a:rPr lang="cs-CZ" sz="1000" b="0"/>
              <a:t>www.cityfinance.cz</a:t>
            </a:r>
          </a:p>
        </xdr:txBody>
      </xdr:sp>
    </xdr:grpSp>
    <xdr:clientData/>
  </xdr:twoCellAnchor>
  <xdr:twoCellAnchor>
    <xdr:from>
      <xdr:col>0</xdr:col>
      <xdr:colOff>69273</xdr:colOff>
      <xdr:row>103</xdr:row>
      <xdr:rowOff>152400</xdr:rowOff>
    </xdr:from>
    <xdr:to>
      <xdr:col>16</xdr:col>
      <xdr:colOff>152400</xdr:colOff>
      <xdr:row>134</xdr:row>
      <xdr:rowOff>152400</xdr:rowOff>
    </xdr:to>
    <xdr:graphicFrame macro="">
      <xdr:nvGraphicFramePr>
        <xdr:cNvPr id="18" name="Graf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96982</xdr:colOff>
      <xdr:row>104</xdr:row>
      <xdr:rowOff>27709</xdr:rowOff>
    </xdr:from>
    <xdr:to>
      <xdr:col>1</xdr:col>
      <xdr:colOff>1496289</xdr:colOff>
      <xdr:row>105</xdr:row>
      <xdr:rowOff>142505</xdr:rowOff>
    </xdr:to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96982" y="20740254"/>
          <a:ext cx="2050471" cy="281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cs-CZ" sz="1000" b="0"/>
            <a:t>www.cityfinance.cz</a:t>
          </a:r>
        </a:p>
      </xdr:txBody>
    </xdr:sp>
    <xdr:clientData/>
  </xdr:twoCellAnchor>
  <xdr:twoCellAnchor>
    <xdr:from>
      <xdr:col>30</xdr:col>
      <xdr:colOff>621228</xdr:colOff>
      <xdr:row>64</xdr:row>
      <xdr:rowOff>1196110</xdr:rowOff>
    </xdr:from>
    <xdr:to>
      <xdr:col>31</xdr:col>
      <xdr:colOff>2062099</xdr:colOff>
      <xdr:row>65</xdr:row>
      <xdr:rowOff>151742</xdr:rowOff>
    </xdr:to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11774137" y="13422746"/>
          <a:ext cx="2064326" cy="2718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cs-CZ" sz="1000" b="0"/>
            <a:t>www.cityfinance.cz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14</xdr:col>
      <xdr:colOff>235527</xdr:colOff>
      <xdr:row>167</xdr:row>
      <xdr:rowOff>0</xdr:rowOff>
    </xdr:to>
    <xdr:graphicFrame macro="">
      <xdr:nvGraphicFramePr>
        <xdr:cNvPr id="21" name="Graf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110836</xdr:colOff>
      <xdr:row>136</xdr:row>
      <xdr:rowOff>55418</xdr:rowOff>
    </xdr:from>
    <xdr:to>
      <xdr:col>14</xdr:col>
      <xdr:colOff>180107</xdr:colOff>
      <xdr:row>138</xdr:row>
      <xdr:rowOff>3959</xdr:rowOff>
    </xdr:to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7800109" y="25741745"/>
          <a:ext cx="2022762" cy="2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cs-CZ" sz="1000" b="0"/>
            <a:t>www.cityfinance.cz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208430</xdr:colOff>
      <xdr:row>22</xdr:row>
      <xdr:rowOff>146956</xdr:rowOff>
    </xdr:from>
    <xdr:to>
      <xdr:col>26</xdr:col>
      <xdr:colOff>480573</xdr:colOff>
      <xdr:row>25</xdr:row>
      <xdr:rowOff>48985</xdr:rowOff>
    </xdr:to>
    <xdr:sp macro="" textlink="">
      <xdr:nvSpPr>
        <xdr:cNvPr id="8" name="Šipka dolů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6058030" y="4058556"/>
          <a:ext cx="272143" cy="435429"/>
        </a:xfrm>
        <a:prstGeom prst="downArrow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23</xdr:col>
      <xdr:colOff>326572</xdr:colOff>
      <xdr:row>0</xdr:row>
      <xdr:rowOff>163285</xdr:rowOff>
    </xdr:from>
    <xdr:to>
      <xdr:col>23</xdr:col>
      <xdr:colOff>598715</xdr:colOff>
      <xdr:row>3</xdr:row>
      <xdr:rowOff>65314</xdr:rowOff>
    </xdr:to>
    <xdr:sp macro="" textlink="">
      <xdr:nvSpPr>
        <xdr:cNvPr id="9" name="Šipka dolů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4347372" y="163285"/>
          <a:ext cx="272143" cy="457200"/>
        </a:xfrm>
        <a:prstGeom prst="downArrow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24</xdr:col>
      <xdr:colOff>388257</xdr:colOff>
      <xdr:row>12</xdr:row>
      <xdr:rowOff>81643</xdr:rowOff>
    </xdr:from>
    <xdr:to>
      <xdr:col>25</xdr:col>
      <xdr:colOff>50800</xdr:colOff>
      <xdr:row>14</xdr:row>
      <xdr:rowOff>175987</xdr:rowOff>
    </xdr:to>
    <xdr:sp macro="" textlink="">
      <xdr:nvSpPr>
        <xdr:cNvPr id="10" name="Šipka dolů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15018657" y="2302329"/>
          <a:ext cx="272143" cy="464458"/>
        </a:xfrm>
        <a:prstGeom prst="downArrow">
          <a:avLst>
            <a:gd name="adj1" fmla="val 50000"/>
            <a:gd name="adj2" fmla="val 42000"/>
          </a:avLst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200"/>
        </a:p>
      </xdr:txBody>
    </xdr:sp>
    <xdr:clientData/>
  </xdr:twoCellAnchor>
  <xdr:twoCellAnchor>
    <xdr:from>
      <xdr:col>23</xdr:col>
      <xdr:colOff>601706</xdr:colOff>
      <xdr:row>8</xdr:row>
      <xdr:rowOff>151648</xdr:rowOff>
    </xdr:from>
    <xdr:to>
      <xdr:col>24</xdr:col>
      <xdr:colOff>449306</xdr:colOff>
      <xdr:row>10</xdr:row>
      <xdr:rowOff>52182</xdr:rowOff>
    </xdr:to>
    <xdr:sp macro="" textlink="">
      <xdr:nvSpPr>
        <xdr:cNvPr id="11" name="Šipka dolů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 rot="13928475">
          <a:off x="14715782" y="1538829"/>
          <a:ext cx="270648" cy="457200"/>
        </a:xfrm>
        <a:prstGeom prst="downArrow">
          <a:avLst>
            <a:gd name="adj1" fmla="val 50000"/>
            <a:gd name="adj2" fmla="val 42000"/>
          </a:avLst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200"/>
        </a:p>
      </xdr:txBody>
    </xdr:sp>
    <xdr:clientData/>
  </xdr:twoCellAnchor>
  <xdr:twoCellAnchor>
    <xdr:from>
      <xdr:col>25</xdr:col>
      <xdr:colOff>344717</xdr:colOff>
      <xdr:row>17</xdr:row>
      <xdr:rowOff>59874</xdr:rowOff>
    </xdr:from>
    <xdr:to>
      <xdr:col>26</xdr:col>
      <xdr:colOff>192317</xdr:colOff>
      <xdr:row>18</xdr:row>
      <xdr:rowOff>139702</xdr:rowOff>
    </xdr:to>
    <xdr:sp macro="" textlink="">
      <xdr:nvSpPr>
        <xdr:cNvPr id="12" name="Šipka dolů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 rot="14778574">
          <a:off x="15684503" y="2982688"/>
          <a:ext cx="257628" cy="457200"/>
        </a:xfrm>
        <a:prstGeom prst="downArrow">
          <a:avLst>
            <a:gd name="adj1" fmla="val 50000"/>
            <a:gd name="adj2" fmla="val 42000"/>
          </a:avLst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23</xdr:col>
      <xdr:colOff>484579</xdr:colOff>
      <xdr:row>24</xdr:row>
      <xdr:rowOff>84448</xdr:rowOff>
    </xdr:from>
    <xdr:to>
      <xdr:col>24</xdr:col>
      <xdr:colOff>147122</xdr:colOff>
      <xdr:row>26</xdr:row>
      <xdr:rowOff>171533</xdr:rowOff>
    </xdr:to>
    <xdr:sp macro="" textlink="">
      <xdr:nvSpPr>
        <xdr:cNvPr id="14" name="Šipka dolů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 rot="10800000">
          <a:off x="14505379" y="4525819"/>
          <a:ext cx="272143" cy="457200"/>
        </a:xfrm>
        <a:prstGeom prst="downArrow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23</xdr:col>
      <xdr:colOff>393702</xdr:colOff>
      <xdr:row>4</xdr:row>
      <xdr:rowOff>141514</xdr:rowOff>
    </xdr:from>
    <xdr:to>
      <xdr:col>24</xdr:col>
      <xdr:colOff>241302</xdr:colOff>
      <xdr:row>6</xdr:row>
      <xdr:rowOff>43542</xdr:rowOff>
    </xdr:to>
    <xdr:sp macro="" textlink="">
      <xdr:nvSpPr>
        <xdr:cNvPr id="16" name="Šipka dolů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 rot="16200000">
          <a:off x="14514288" y="752928"/>
          <a:ext cx="257628" cy="457200"/>
        </a:xfrm>
        <a:prstGeom prst="downArrow">
          <a:avLst>
            <a:gd name="adj1" fmla="val 50000"/>
            <a:gd name="adj2" fmla="val 42000"/>
          </a:avLst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22</xdr:col>
      <xdr:colOff>10225</xdr:colOff>
      <xdr:row>7</xdr:row>
      <xdr:rowOff>138215</xdr:rowOff>
    </xdr:from>
    <xdr:to>
      <xdr:col>22</xdr:col>
      <xdr:colOff>467425</xdr:colOff>
      <xdr:row>9</xdr:row>
      <xdr:rowOff>32986</xdr:rowOff>
    </xdr:to>
    <xdr:sp macro="" textlink="">
      <xdr:nvSpPr>
        <xdr:cNvPr id="19" name="Šipka dolů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 rot="15486738">
          <a:off x="13522530" y="1297874"/>
          <a:ext cx="254989" cy="457200"/>
        </a:xfrm>
        <a:prstGeom prst="downArrow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25</xdr:col>
      <xdr:colOff>206827</xdr:colOff>
      <xdr:row>1</xdr:row>
      <xdr:rowOff>97972</xdr:rowOff>
    </xdr:from>
    <xdr:to>
      <xdr:col>27</xdr:col>
      <xdr:colOff>380998</xdr:colOff>
      <xdr:row>9</xdr:row>
      <xdr:rowOff>0</xdr:rowOff>
    </xdr:to>
    <xdr:sp macro="" textlink="">
      <xdr:nvSpPr>
        <xdr:cNvPr id="20" name="Prstenec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5446827" y="283029"/>
          <a:ext cx="1393371" cy="1382485"/>
        </a:xfrm>
        <a:prstGeom prst="donut">
          <a:avLst>
            <a:gd name="adj" fmla="val 7067"/>
          </a:avLst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568036</xdr:colOff>
      <xdr:row>59</xdr:row>
      <xdr:rowOff>184725</xdr:rowOff>
    </xdr:from>
    <xdr:to>
      <xdr:col>17</xdr:col>
      <xdr:colOff>323271</xdr:colOff>
      <xdr:row>73</xdr:row>
      <xdr:rowOff>57726</xdr:rowOff>
    </xdr:to>
    <xdr:graphicFrame macro="">
      <xdr:nvGraphicFramePr>
        <xdr:cNvPr id="21" name="Graf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511629</xdr:colOff>
      <xdr:row>18</xdr:row>
      <xdr:rowOff>87085</xdr:rowOff>
    </xdr:from>
    <xdr:to>
      <xdr:col>24</xdr:col>
      <xdr:colOff>174172</xdr:colOff>
      <xdr:row>20</xdr:row>
      <xdr:rowOff>174171</xdr:rowOff>
    </xdr:to>
    <xdr:sp macro="" textlink="">
      <xdr:nvSpPr>
        <xdr:cNvPr id="22" name="Šipka dolů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 rot="10800000">
          <a:off x="14532429" y="3418114"/>
          <a:ext cx="272143" cy="457200"/>
        </a:xfrm>
        <a:prstGeom prst="downArrow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8</xdr:col>
      <xdr:colOff>79119</xdr:colOff>
      <xdr:row>7</xdr:row>
      <xdr:rowOff>80818</xdr:rowOff>
    </xdr:from>
    <xdr:to>
      <xdr:col>21</xdr:col>
      <xdr:colOff>277091</xdr:colOff>
      <xdr:row>23</xdr:row>
      <xdr:rowOff>0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3A01C5DF-3EB6-8D78-FC3A-E2BD3AFBE814}"/>
            </a:ext>
          </a:extLst>
        </xdr:cNvPr>
        <xdr:cNvGrpSpPr/>
      </xdr:nvGrpSpPr>
      <xdr:grpSpPr>
        <a:xfrm>
          <a:off x="4974392" y="1373909"/>
          <a:ext cx="8152790" cy="2874818"/>
          <a:chOff x="4939755" y="1373909"/>
          <a:chExt cx="8152790" cy="2874818"/>
        </a:xfrm>
      </xdr:grpSpPr>
      <xdr:graphicFrame macro="">
        <xdr:nvGraphicFramePr>
          <xdr:cNvPr id="4" name="Graf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GraphicFramePr/>
        </xdr:nvGraphicFramePr>
        <xdr:xfrm>
          <a:off x="4939755" y="1373909"/>
          <a:ext cx="8152790" cy="287481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24" name="TextovéPole 23">
            <a:extLst>
              <a:ext uri="{FF2B5EF4-FFF2-40B4-BE49-F238E27FC236}">
                <a16:creationId xmlns:a16="http://schemas.microsoft.com/office/drawing/2014/main" id="{28E28970-B7A7-4C47-8247-2BE5739C5FE4}"/>
              </a:ext>
            </a:extLst>
          </xdr:cNvPr>
          <xdr:cNvSpPr txBox="1"/>
        </xdr:nvSpPr>
        <xdr:spPr>
          <a:xfrm>
            <a:off x="5068997" y="3938243"/>
            <a:ext cx="1462829" cy="3035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l"/>
            <a:r>
              <a:rPr lang="cs-CZ" sz="1200" b="0" i="1"/>
              <a:t>www.cityfinance.cz</a:t>
            </a:r>
          </a:p>
        </xdr:txBody>
      </xdr:sp>
    </xdr:grpSp>
    <xdr:clientData/>
  </xdr:twoCellAnchor>
  <xdr:twoCellAnchor>
    <xdr:from>
      <xdr:col>11</xdr:col>
      <xdr:colOff>369454</xdr:colOff>
      <xdr:row>30</xdr:row>
      <xdr:rowOff>173182</xdr:rowOff>
    </xdr:from>
    <xdr:to>
      <xdr:col>31</xdr:col>
      <xdr:colOff>450275</xdr:colOff>
      <xdr:row>58</xdr:row>
      <xdr:rowOff>103909</xdr:rowOff>
    </xdr:to>
    <xdr:grpSp>
      <xdr:nvGrpSpPr>
        <xdr:cNvPr id="5" name="Skupina 4">
          <a:extLst>
            <a:ext uri="{FF2B5EF4-FFF2-40B4-BE49-F238E27FC236}">
              <a16:creationId xmlns:a16="http://schemas.microsoft.com/office/drawing/2014/main" id="{CEDF0804-AE4E-9ACB-41B4-1A02DBC2200F}"/>
            </a:ext>
          </a:extLst>
        </xdr:cNvPr>
        <xdr:cNvGrpSpPr/>
      </xdr:nvGrpSpPr>
      <xdr:grpSpPr>
        <a:xfrm>
          <a:off x="7100454" y="5715000"/>
          <a:ext cx="12319003" cy="5103091"/>
          <a:chOff x="8312729" y="7019635"/>
          <a:chExt cx="10564090" cy="3452091"/>
        </a:xfrm>
      </xdr:grpSpPr>
      <xdr:graphicFrame macro="">
        <xdr:nvGraphicFramePr>
          <xdr:cNvPr id="3" name="Graf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GraphicFramePr/>
        </xdr:nvGraphicFramePr>
        <xdr:xfrm>
          <a:off x="8312729" y="7019635"/>
          <a:ext cx="10564090" cy="34520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25" name="TextovéPole 24">
            <a:extLst>
              <a:ext uri="{FF2B5EF4-FFF2-40B4-BE49-F238E27FC236}">
                <a16:creationId xmlns:a16="http://schemas.microsoft.com/office/drawing/2014/main" id="{022B2F25-AD99-45A1-90D6-64F7946CFF5E}"/>
              </a:ext>
            </a:extLst>
          </xdr:cNvPr>
          <xdr:cNvSpPr txBox="1"/>
        </xdr:nvSpPr>
        <xdr:spPr>
          <a:xfrm>
            <a:off x="8393667" y="7064874"/>
            <a:ext cx="1460520" cy="2574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l"/>
            <a:r>
              <a:rPr lang="cs-CZ" sz="1200" b="0" i="1"/>
              <a:t>www.cityfinance.cz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36286</xdr:colOff>
      <xdr:row>2</xdr:row>
      <xdr:rowOff>38581</xdr:rowOff>
    </xdr:from>
    <xdr:to>
      <xdr:col>41</xdr:col>
      <xdr:colOff>165826</xdr:colOff>
      <xdr:row>24</xdr:row>
      <xdr:rowOff>188260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63954</xdr:colOff>
      <xdr:row>0</xdr:row>
      <xdr:rowOff>0</xdr:rowOff>
    </xdr:from>
    <xdr:to>
      <xdr:col>20</xdr:col>
      <xdr:colOff>504826</xdr:colOff>
      <xdr:row>25</xdr:row>
      <xdr:rowOff>56697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17930</xdr:colOff>
      <xdr:row>24</xdr:row>
      <xdr:rowOff>19956</xdr:rowOff>
    </xdr:from>
    <xdr:to>
      <xdr:col>22</xdr:col>
      <xdr:colOff>290073</xdr:colOff>
      <xdr:row>26</xdr:row>
      <xdr:rowOff>99785</xdr:rowOff>
    </xdr:to>
    <xdr:sp macro="" textlink="">
      <xdr:nvSpPr>
        <xdr:cNvPr id="6" name="Šipka dolů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3429130" y="4287156"/>
          <a:ext cx="272143" cy="435429"/>
        </a:xfrm>
        <a:prstGeom prst="downArrow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23</xdr:col>
      <xdr:colOff>326572</xdr:colOff>
      <xdr:row>0</xdr:row>
      <xdr:rowOff>163285</xdr:rowOff>
    </xdr:from>
    <xdr:to>
      <xdr:col>23</xdr:col>
      <xdr:colOff>598715</xdr:colOff>
      <xdr:row>3</xdr:row>
      <xdr:rowOff>65314</xdr:rowOff>
    </xdr:to>
    <xdr:sp macro="" textlink="">
      <xdr:nvSpPr>
        <xdr:cNvPr id="7" name="Šipka dolů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4347372" y="163285"/>
          <a:ext cx="272143" cy="450669"/>
        </a:xfrm>
        <a:prstGeom prst="downArrow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24</xdr:col>
      <xdr:colOff>159657</xdr:colOff>
      <xdr:row>24</xdr:row>
      <xdr:rowOff>23586</xdr:rowOff>
    </xdr:from>
    <xdr:to>
      <xdr:col>24</xdr:col>
      <xdr:colOff>431800</xdr:colOff>
      <xdr:row>26</xdr:row>
      <xdr:rowOff>110672</xdr:rowOff>
    </xdr:to>
    <xdr:sp macro="" textlink="">
      <xdr:nvSpPr>
        <xdr:cNvPr id="8" name="Šipka dolů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14790057" y="4290786"/>
          <a:ext cx="272143" cy="442686"/>
        </a:xfrm>
        <a:prstGeom prst="downArrow">
          <a:avLst>
            <a:gd name="adj1" fmla="val 50000"/>
            <a:gd name="adj2" fmla="val 42000"/>
          </a:avLst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26</xdr:col>
      <xdr:colOff>237672</xdr:colOff>
      <xdr:row>10</xdr:row>
      <xdr:rowOff>172355</xdr:rowOff>
    </xdr:from>
    <xdr:to>
      <xdr:col>27</xdr:col>
      <xdr:colOff>85272</xdr:colOff>
      <xdr:row>12</xdr:row>
      <xdr:rowOff>74383</xdr:rowOff>
    </xdr:to>
    <xdr:sp macro="" textlink="">
      <xdr:nvSpPr>
        <xdr:cNvPr id="9" name="Šipka dolů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 rot="16200000">
          <a:off x="16187058" y="1850569"/>
          <a:ext cx="257628" cy="457200"/>
        </a:xfrm>
        <a:prstGeom prst="downArrow">
          <a:avLst>
            <a:gd name="adj1" fmla="val 50000"/>
            <a:gd name="adj2" fmla="val 42000"/>
          </a:avLst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24</xdr:col>
      <xdr:colOff>420917</xdr:colOff>
      <xdr:row>24</xdr:row>
      <xdr:rowOff>85274</xdr:rowOff>
    </xdr:from>
    <xdr:to>
      <xdr:col>25</xdr:col>
      <xdr:colOff>268517</xdr:colOff>
      <xdr:row>25</xdr:row>
      <xdr:rowOff>165102</xdr:rowOff>
    </xdr:to>
    <xdr:sp macro="" textlink="">
      <xdr:nvSpPr>
        <xdr:cNvPr id="10" name="Šipka dolů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 rot="14778574">
          <a:off x="15151103" y="4252688"/>
          <a:ext cx="257628" cy="457200"/>
        </a:xfrm>
        <a:prstGeom prst="downArrow">
          <a:avLst>
            <a:gd name="adj1" fmla="val 50000"/>
            <a:gd name="adj2" fmla="val 42000"/>
          </a:avLst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24</xdr:col>
      <xdr:colOff>275771</xdr:colOff>
      <xdr:row>5</xdr:row>
      <xdr:rowOff>168729</xdr:rowOff>
    </xdr:from>
    <xdr:to>
      <xdr:col>24</xdr:col>
      <xdr:colOff>547914</xdr:colOff>
      <xdr:row>8</xdr:row>
      <xdr:rowOff>78014</xdr:rowOff>
    </xdr:to>
    <xdr:sp macro="" textlink="">
      <xdr:nvSpPr>
        <xdr:cNvPr id="11" name="Šipka dolů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 rot="10800000">
          <a:off x="14906171" y="1057729"/>
          <a:ext cx="272143" cy="442685"/>
        </a:xfrm>
        <a:prstGeom prst="downArrow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10</xdr:col>
      <xdr:colOff>209552</xdr:colOff>
      <xdr:row>25</xdr:row>
      <xdr:rowOff>133803</xdr:rowOff>
    </xdr:from>
    <xdr:to>
      <xdr:col>20</xdr:col>
      <xdr:colOff>552450</xdr:colOff>
      <xdr:row>44</xdr:row>
      <xdr:rowOff>174624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406402</xdr:colOff>
      <xdr:row>5</xdr:row>
      <xdr:rowOff>27214</xdr:rowOff>
    </xdr:from>
    <xdr:to>
      <xdr:col>24</xdr:col>
      <xdr:colOff>254002</xdr:colOff>
      <xdr:row>6</xdr:row>
      <xdr:rowOff>107042</xdr:rowOff>
    </xdr:to>
    <xdr:sp macro="" textlink="">
      <xdr:nvSpPr>
        <xdr:cNvPr id="13" name="Šipka dolů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 rot="16200000">
          <a:off x="14526988" y="816428"/>
          <a:ext cx="257628" cy="457200"/>
        </a:xfrm>
        <a:prstGeom prst="downArrow">
          <a:avLst>
            <a:gd name="adj1" fmla="val 50000"/>
            <a:gd name="adj2" fmla="val 42000"/>
          </a:avLst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24</xdr:col>
      <xdr:colOff>156030</xdr:colOff>
      <xdr:row>16</xdr:row>
      <xdr:rowOff>14514</xdr:rowOff>
    </xdr:from>
    <xdr:to>
      <xdr:col>25</xdr:col>
      <xdr:colOff>3630</xdr:colOff>
      <xdr:row>17</xdr:row>
      <xdr:rowOff>94343</xdr:rowOff>
    </xdr:to>
    <xdr:sp macro="" textlink="">
      <xdr:nvSpPr>
        <xdr:cNvPr id="15" name="Šipka dolů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 rot="17288878">
          <a:off x="14883675" y="2843349"/>
          <a:ext cx="262709" cy="457200"/>
        </a:xfrm>
        <a:prstGeom prst="downArrow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25</xdr:col>
      <xdr:colOff>206827</xdr:colOff>
      <xdr:row>1</xdr:row>
      <xdr:rowOff>97972</xdr:rowOff>
    </xdr:from>
    <xdr:to>
      <xdr:col>27</xdr:col>
      <xdr:colOff>380998</xdr:colOff>
      <xdr:row>9</xdr:row>
      <xdr:rowOff>0</xdr:rowOff>
    </xdr:to>
    <xdr:sp macro="" textlink="">
      <xdr:nvSpPr>
        <xdr:cNvPr id="16" name="Prstenec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5446827" y="280852"/>
          <a:ext cx="1393371" cy="1365068"/>
        </a:xfrm>
        <a:prstGeom prst="donut">
          <a:avLst>
            <a:gd name="adj" fmla="val 7067"/>
          </a:avLst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101600</xdr:colOff>
      <xdr:row>18</xdr:row>
      <xdr:rowOff>76200</xdr:rowOff>
    </xdr:from>
    <xdr:to>
      <xdr:col>25</xdr:col>
      <xdr:colOff>373743</xdr:colOff>
      <xdr:row>20</xdr:row>
      <xdr:rowOff>163286</xdr:rowOff>
    </xdr:to>
    <xdr:sp macro="" textlink="">
      <xdr:nvSpPr>
        <xdr:cNvPr id="23" name="Šipka dolů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15341600" y="3276600"/>
          <a:ext cx="272143" cy="442686"/>
        </a:xfrm>
        <a:prstGeom prst="downArrow">
          <a:avLst>
            <a:gd name="adj1" fmla="val 50000"/>
            <a:gd name="adj2" fmla="val 42000"/>
          </a:avLst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25</xdr:col>
      <xdr:colOff>495300</xdr:colOff>
      <xdr:row>24</xdr:row>
      <xdr:rowOff>25400</xdr:rowOff>
    </xdr:from>
    <xdr:to>
      <xdr:col>26</xdr:col>
      <xdr:colOff>157843</xdr:colOff>
      <xdr:row>26</xdr:row>
      <xdr:rowOff>112485</xdr:rowOff>
    </xdr:to>
    <xdr:sp macro="" textlink="">
      <xdr:nvSpPr>
        <xdr:cNvPr id="20" name="Šipka dolů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 rot="10800000">
          <a:off x="15735300" y="4292600"/>
          <a:ext cx="272143" cy="442685"/>
        </a:xfrm>
        <a:prstGeom prst="downArrow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2</xdr:col>
      <xdr:colOff>241300</xdr:colOff>
      <xdr:row>63</xdr:row>
      <xdr:rowOff>63500</xdr:rowOff>
    </xdr:from>
    <xdr:to>
      <xdr:col>20</xdr:col>
      <xdr:colOff>349250</xdr:colOff>
      <xdr:row>78</xdr:row>
      <xdr:rowOff>95250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F8645B60-874C-AC8F-7493-67178D510DCE}"/>
            </a:ext>
          </a:extLst>
        </xdr:cNvPr>
        <xdr:cNvGrpSpPr/>
      </xdr:nvGrpSpPr>
      <xdr:grpSpPr>
        <a:xfrm>
          <a:off x="1463675" y="12065000"/>
          <a:ext cx="10966450" cy="2889250"/>
          <a:chOff x="1082675" y="10150927"/>
          <a:chExt cx="10966450" cy="4692198"/>
        </a:xfrm>
      </xdr:grpSpPr>
      <xdr:graphicFrame macro="">
        <xdr:nvGraphicFramePr>
          <xdr:cNvPr id="2" name="Graf 1">
            <a:extLst>
              <a:ext uri="{FF2B5EF4-FFF2-40B4-BE49-F238E27FC236}">
                <a16:creationId xmlns:a16="http://schemas.microsoft.com/office/drawing/2014/main" id="{00000000-0008-0000-0400-000002000000}"/>
              </a:ext>
            </a:extLst>
          </xdr:cNvPr>
          <xdr:cNvGraphicFramePr/>
        </xdr:nvGraphicFramePr>
        <xdr:xfrm>
          <a:off x="1082675" y="10150927"/>
          <a:ext cx="10966450" cy="469219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" name="TextovéPole 16">
            <a:extLst>
              <a:ext uri="{FF2B5EF4-FFF2-40B4-BE49-F238E27FC236}">
                <a16:creationId xmlns:a16="http://schemas.microsoft.com/office/drawing/2014/main" id="{50B54F56-8475-44C1-AD73-B97FBE3AABB0}"/>
              </a:ext>
            </a:extLst>
          </xdr:cNvPr>
          <xdr:cNvSpPr txBox="1"/>
        </xdr:nvSpPr>
        <xdr:spPr>
          <a:xfrm>
            <a:off x="9128125" y="14525625"/>
            <a:ext cx="2738542" cy="2120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r"/>
            <a:r>
              <a:rPr lang="cs-CZ" sz="800" b="0">
                <a:solidFill>
                  <a:sysClr val="windowText" lastClr="000000"/>
                </a:solidFill>
              </a:rPr>
              <a:t>www.cityfinance.cz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91440</xdr:colOff>
      <xdr:row>26</xdr:row>
      <xdr:rowOff>83820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21683</xdr:colOff>
      <xdr:row>1</xdr:row>
      <xdr:rowOff>38595</xdr:rowOff>
    </xdr:from>
    <xdr:to>
      <xdr:col>7</xdr:col>
      <xdr:colOff>8674</xdr:colOff>
      <xdr:row>6</xdr:row>
      <xdr:rowOff>30975</xdr:rowOff>
    </xdr:to>
    <xdr:sp macro="" textlink="">
      <xdr:nvSpPr>
        <xdr:cNvPr id="11" name="Obdélník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1421781" y="274010"/>
          <a:ext cx="1195039" cy="1175648"/>
        </a:xfrm>
        <a:prstGeom prst="rect">
          <a:avLst/>
        </a:prstGeom>
        <a:gradFill flip="none" rotWithShape="1">
          <a:gsLst>
            <a:gs pos="64000">
              <a:schemeClr val="tx2">
                <a:lumMod val="20000"/>
                <a:lumOff val="80000"/>
                <a:alpha val="80000"/>
              </a:schemeClr>
            </a:gs>
            <a:gs pos="31000">
              <a:srgbClr val="FFFF00">
                <a:alpha val="86000"/>
              </a:srgbClr>
            </a:gs>
            <a:gs pos="22000">
              <a:srgbClr val="FF0000">
                <a:alpha val="97000"/>
              </a:srgbClr>
            </a:gs>
          </a:gsLst>
          <a:path path="circle">
            <a:fillToRect t="100000" r="100000"/>
          </a:path>
          <a:tileRect l="-100000" b="-10000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7</xdr:col>
      <xdr:colOff>0</xdr:colOff>
      <xdr:row>7</xdr:row>
      <xdr:rowOff>106680</xdr:rowOff>
    </xdr:to>
    <xdr:sp macro="" textlink="">
      <xdr:nvSpPr>
        <xdr:cNvPr id="3" name="Šipka doleva a nahoru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 rot="5400000">
          <a:off x="1036320" y="251460"/>
          <a:ext cx="1508760" cy="1493520"/>
        </a:xfrm>
        <a:prstGeom prst="leftUpArrow">
          <a:avLst>
            <a:gd name="adj1" fmla="val 0"/>
            <a:gd name="adj2" fmla="val 3436"/>
            <a:gd name="adj3" fmla="val 9038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26</xdr:col>
      <xdr:colOff>375285</xdr:colOff>
      <xdr:row>2</xdr:row>
      <xdr:rowOff>194310</xdr:rowOff>
    </xdr:from>
    <xdr:to>
      <xdr:col>27</xdr:col>
      <xdr:colOff>20955</xdr:colOff>
      <xdr:row>3</xdr:row>
      <xdr:rowOff>186690</xdr:rowOff>
    </xdr:to>
    <xdr:pic>
      <xdr:nvPicPr>
        <xdr:cNvPr id="9" name="Picture 4" descr="C:\Users\Luděk Tesař\AppData\Local\Microsoft\Windows\Temporary Internet Files\Content.IE5\YI5B30IU\earth-147591_640[1].png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10748010" y="651510"/>
          <a:ext cx="236220" cy="220980"/>
        </a:xfrm>
        <a:prstGeom prst="rect">
          <a:avLst/>
        </a:prstGeom>
        <a:noFill/>
        <a:effectLst>
          <a:outerShdw blurRad="50800" dist="38100" dir="18900000" algn="bl" rotWithShape="0">
            <a:schemeClr val="tx1">
              <a:lumMod val="95000"/>
              <a:lumOff val="5000"/>
              <a:alpha val="40000"/>
            </a:schemeClr>
          </a:outerShdw>
        </a:effectLst>
        <a:scene3d>
          <a:camera prst="orthographicFront"/>
          <a:lightRig rig="threePt" dir="t"/>
        </a:scene3d>
        <a:sp3d prstMaterial="metal"/>
      </xdr:spPr>
    </xdr:pic>
    <xdr:clientData/>
  </xdr:twoCellAnchor>
  <xdr:twoCellAnchor editAs="oneCell">
    <xdr:from>
      <xdr:col>6</xdr:col>
      <xdr:colOff>8592</xdr:colOff>
      <xdr:row>1</xdr:row>
      <xdr:rowOff>68440</xdr:rowOff>
    </xdr:from>
    <xdr:to>
      <xdr:col>7</xdr:col>
      <xdr:colOff>972</xdr:colOff>
      <xdr:row>2</xdr:row>
      <xdr:rowOff>60821</xdr:rowOff>
    </xdr:to>
    <xdr:pic>
      <xdr:nvPicPr>
        <xdr:cNvPr id="1028" name="Picture 4" descr="C:\Users\Luděk Tesař\AppData\Local\Microsoft\Windows\Temporary Internet Files\Content.IE5\YI5B30IU\earth-147591_640[1].png">
          <a:extLst>
            <a:ext uri="{FF2B5EF4-FFF2-40B4-BE49-F238E27FC236}">
              <a16:creationId xmlns:a16="http://schemas.microsoft.com/office/drawing/2014/main" id="{00000000-0008-0000-07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26000" contrast="82000"/>
        </a:blip>
        <a:srcRect/>
        <a:stretch>
          <a:fillRect/>
        </a:stretch>
      </xdr:blipFill>
      <xdr:spPr bwMode="auto">
        <a:xfrm>
          <a:off x="2373420" y="304923"/>
          <a:ext cx="233242" cy="228864"/>
        </a:xfrm>
        <a:prstGeom prst="rect">
          <a:avLst/>
        </a:prstGeom>
        <a:noFill/>
        <a:effectLst>
          <a:outerShdw blurRad="50800" dist="38100" dir="18900000" algn="bl" rotWithShape="0">
            <a:schemeClr val="tx1">
              <a:lumMod val="95000"/>
              <a:lumOff val="5000"/>
              <a:alpha val="40000"/>
            </a:schemeClr>
          </a:outerShdw>
        </a:effectLst>
        <a:scene3d>
          <a:camera prst="orthographicFront"/>
          <a:lightRig rig="threePt" dir="t"/>
        </a:scene3d>
        <a:sp3d prstMaterial="metal"/>
      </xdr:spPr>
    </xdr:pic>
    <xdr:clientData/>
  </xdr:twoCellAnchor>
  <xdr:twoCellAnchor>
    <xdr:from>
      <xdr:col>17</xdr:col>
      <xdr:colOff>67310</xdr:colOff>
      <xdr:row>4</xdr:row>
      <xdr:rowOff>12700</xdr:rowOff>
    </xdr:from>
    <xdr:to>
      <xdr:col>21</xdr:col>
      <xdr:colOff>593090</xdr:colOff>
      <xdr:row>15</xdr:row>
      <xdr:rowOff>11637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 editAs="oneCell">
    <xdr:from>
      <xdr:col>17</xdr:col>
      <xdr:colOff>0</xdr:colOff>
      <xdr:row>5</xdr:row>
      <xdr:rowOff>129540</xdr:rowOff>
    </xdr:from>
    <xdr:to>
      <xdr:col>17</xdr:col>
      <xdr:colOff>236855</xdr:colOff>
      <xdr:row>6</xdr:row>
      <xdr:rowOff>122555</xdr:rowOff>
    </xdr:to>
    <xdr:pic>
      <xdr:nvPicPr>
        <xdr:cNvPr id="12" name="Obrázek 11" descr="C:\Users\Luděk Tesař\AppData\Local\Microsoft\Windows\Temporary Internet Files\Content.IE5\YBW3HX5R\220px-Yin_yang.svg[1].png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018020" y="1310640"/>
          <a:ext cx="236855" cy="236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26</xdr:col>
      <xdr:colOff>114300</xdr:colOff>
      <xdr:row>26</xdr:row>
      <xdr:rowOff>100330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0000000-0008-0000-07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018020" y="2956560"/>
          <a:ext cx="4907280" cy="24079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24</xdr:col>
      <xdr:colOff>297180</xdr:colOff>
      <xdr:row>2</xdr:row>
      <xdr:rowOff>205740</xdr:rowOff>
    </xdr:from>
    <xdr:to>
      <xdr:col>24</xdr:col>
      <xdr:colOff>548640</xdr:colOff>
      <xdr:row>3</xdr:row>
      <xdr:rowOff>198120</xdr:rowOff>
    </xdr:to>
    <xdr:pic>
      <xdr:nvPicPr>
        <xdr:cNvPr id="13" name="Picture 4" descr="C:\Users\Luděk Tesař\AppData\Local\Microsoft\Windows\Temporary Internet Files\Content.IE5\YI5B30IU\earth-147591_640[1].png">
          <a:extLst>
            <a:ext uri="{FF2B5EF4-FFF2-40B4-BE49-F238E27FC236}">
              <a16:creationId xmlns:a16="http://schemas.microsoft.com/office/drawing/2014/main" id="{64136057-85BF-4E8C-B53C-E780D30BA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colorTemperature colorTemp="3307"/>
                  </a14:imgEffect>
                  <a14:imgEffect>
                    <a14:saturation sat="74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9593580" y="678180"/>
          <a:ext cx="251460" cy="228600"/>
        </a:xfrm>
        <a:prstGeom prst="rect">
          <a:avLst/>
        </a:prstGeom>
        <a:noFill/>
        <a:effectLst>
          <a:outerShdw blurRad="50800" dist="38100" dir="18900000" algn="bl" rotWithShape="0">
            <a:schemeClr val="tx1">
              <a:lumMod val="95000"/>
              <a:lumOff val="5000"/>
              <a:alpha val="40000"/>
            </a:schemeClr>
          </a:outerShdw>
        </a:effectLst>
        <a:scene3d>
          <a:camera prst="orthographicFront"/>
          <a:lightRig rig="threePt" dir="t"/>
        </a:scene3d>
        <a:sp3d prstMaterial="metal"/>
      </xdr:spPr>
    </xdr:pic>
    <xdr:clientData/>
  </xdr:twoCellAnchor>
  <xdr:twoCellAnchor>
    <xdr:from>
      <xdr:col>17</xdr:col>
      <xdr:colOff>32537</xdr:colOff>
      <xdr:row>1</xdr:row>
      <xdr:rowOff>173468</xdr:rowOff>
    </xdr:from>
    <xdr:to>
      <xdr:col>18</xdr:col>
      <xdr:colOff>90384</xdr:colOff>
      <xdr:row>3</xdr:row>
      <xdr:rowOff>127961</xdr:rowOff>
    </xdr:to>
    <xdr:sp macro="" textlink="">
      <xdr:nvSpPr>
        <xdr:cNvPr id="24" name="Oblouk 23">
          <a:extLst>
            <a:ext uri="{FF2B5EF4-FFF2-40B4-BE49-F238E27FC236}">
              <a16:creationId xmlns:a16="http://schemas.microsoft.com/office/drawing/2014/main" id="{AE7327D7-C1C3-4374-96B0-0901512FAE41}"/>
            </a:ext>
          </a:extLst>
        </xdr:cNvPr>
        <xdr:cNvSpPr/>
      </xdr:nvSpPr>
      <xdr:spPr>
        <a:xfrm rot="10193489" flipV="1">
          <a:off x="5953365" y="409951"/>
          <a:ext cx="675329" cy="427458"/>
        </a:xfrm>
        <a:custGeom>
          <a:avLst/>
          <a:gdLst>
            <a:gd name="connsiteX0" fmla="*/ 675229 w 678832"/>
            <a:gd name="connsiteY0" fmla="*/ 174634 h 304951"/>
            <a:gd name="connsiteX1" fmla="*/ 341590 w 678832"/>
            <a:gd name="connsiteY1" fmla="*/ 304948 h 304951"/>
            <a:gd name="connsiteX2" fmla="*/ 7297 w 678832"/>
            <a:gd name="connsiteY2" fmla="*/ 183920 h 304951"/>
            <a:gd name="connsiteX3" fmla="*/ 312613 w 678832"/>
            <a:gd name="connsiteY3" fmla="*/ 475 h 304951"/>
            <a:gd name="connsiteX4" fmla="*/ 339416 w 678832"/>
            <a:gd name="connsiteY4" fmla="*/ 152476 h 304951"/>
            <a:gd name="connsiteX5" fmla="*/ 675229 w 678832"/>
            <a:gd name="connsiteY5" fmla="*/ 174634 h 304951"/>
            <a:gd name="connsiteX0" fmla="*/ 675229 w 678832"/>
            <a:gd name="connsiteY0" fmla="*/ 174634 h 304951"/>
            <a:gd name="connsiteX1" fmla="*/ 341590 w 678832"/>
            <a:gd name="connsiteY1" fmla="*/ 304948 h 304951"/>
            <a:gd name="connsiteX2" fmla="*/ 7297 w 678832"/>
            <a:gd name="connsiteY2" fmla="*/ 183920 h 304951"/>
            <a:gd name="connsiteX3" fmla="*/ 312613 w 678832"/>
            <a:gd name="connsiteY3" fmla="*/ 475 h 304951"/>
            <a:gd name="connsiteX0" fmla="*/ 675329 w 675329"/>
            <a:gd name="connsiteY0" fmla="*/ 174159 h 304476"/>
            <a:gd name="connsiteX1" fmla="*/ 341690 w 675329"/>
            <a:gd name="connsiteY1" fmla="*/ 304473 h 304476"/>
            <a:gd name="connsiteX2" fmla="*/ 7397 w 675329"/>
            <a:gd name="connsiteY2" fmla="*/ 183445 h 304476"/>
            <a:gd name="connsiteX3" fmla="*/ 312713 w 675329"/>
            <a:gd name="connsiteY3" fmla="*/ 0 h 304476"/>
            <a:gd name="connsiteX4" fmla="*/ 339516 w 675329"/>
            <a:gd name="connsiteY4" fmla="*/ 152001 h 304476"/>
            <a:gd name="connsiteX5" fmla="*/ 675329 w 675329"/>
            <a:gd name="connsiteY5" fmla="*/ 174159 h 304476"/>
            <a:gd name="connsiteX0" fmla="*/ 675329 w 675329"/>
            <a:gd name="connsiteY0" fmla="*/ 174159 h 304476"/>
            <a:gd name="connsiteX1" fmla="*/ 341690 w 675329"/>
            <a:gd name="connsiteY1" fmla="*/ 304473 h 304476"/>
            <a:gd name="connsiteX2" fmla="*/ 7397 w 675329"/>
            <a:gd name="connsiteY2" fmla="*/ 183445 h 304476"/>
            <a:gd name="connsiteX3" fmla="*/ 554209 w 675329"/>
            <a:gd name="connsiteY3" fmla="*/ 281675 h 304476"/>
            <a:gd name="connsiteX0" fmla="*/ 675329 w 675329"/>
            <a:gd name="connsiteY0" fmla="*/ 174159 h 427458"/>
            <a:gd name="connsiteX1" fmla="*/ 341690 w 675329"/>
            <a:gd name="connsiteY1" fmla="*/ 304473 h 427458"/>
            <a:gd name="connsiteX2" fmla="*/ 7397 w 675329"/>
            <a:gd name="connsiteY2" fmla="*/ 183445 h 427458"/>
            <a:gd name="connsiteX3" fmla="*/ 312713 w 675329"/>
            <a:gd name="connsiteY3" fmla="*/ 0 h 427458"/>
            <a:gd name="connsiteX4" fmla="*/ 366383 w 675329"/>
            <a:gd name="connsiteY4" fmla="*/ 427458 h 427458"/>
            <a:gd name="connsiteX5" fmla="*/ 675329 w 675329"/>
            <a:gd name="connsiteY5" fmla="*/ 174159 h 427458"/>
            <a:gd name="connsiteX0" fmla="*/ 675329 w 675329"/>
            <a:gd name="connsiteY0" fmla="*/ 174159 h 427458"/>
            <a:gd name="connsiteX1" fmla="*/ 341690 w 675329"/>
            <a:gd name="connsiteY1" fmla="*/ 304473 h 427458"/>
            <a:gd name="connsiteX2" fmla="*/ 7397 w 675329"/>
            <a:gd name="connsiteY2" fmla="*/ 183445 h 427458"/>
            <a:gd name="connsiteX3" fmla="*/ 554209 w 675329"/>
            <a:gd name="connsiteY3" fmla="*/ 281675 h 42745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675329" h="427458" stroke="0" extrusionOk="0">
              <a:moveTo>
                <a:pt x="675329" y="174159"/>
              </a:moveTo>
              <a:cubicBezTo>
                <a:pt x="650975" y="248641"/>
                <a:pt x="509264" y="303991"/>
                <a:pt x="341690" y="304473"/>
              </a:cubicBezTo>
              <a:cubicBezTo>
                <a:pt x="180400" y="304937"/>
                <a:pt x="40660" y="254346"/>
                <a:pt x="7397" y="183445"/>
              </a:cubicBezTo>
              <a:cubicBezTo>
                <a:pt x="-34828" y="93444"/>
                <a:pt x="108607" y="7263"/>
                <a:pt x="312713" y="0"/>
              </a:cubicBezTo>
              <a:lnTo>
                <a:pt x="366383" y="427458"/>
              </a:lnTo>
              <a:lnTo>
                <a:pt x="675329" y="174159"/>
              </a:lnTo>
              <a:close/>
            </a:path>
            <a:path w="675329" h="427458" fill="none">
              <a:moveTo>
                <a:pt x="675329" y="174159"/>
              </a:moveTo>
              <a:cubicBezTo>
                <a:pt x="650975" y="248641"/>
                <a:pt x="509264" y="303991"/>
                <a:pt x="341690" y="304473"/>
              </a:cubicBezTo>
              <a:cubicBezTo>
                <a:pt x="180400" y="304937"/>
                <a:pt x="40660" y="254346"/>
                <a:pt x="7397" y="183445"/>
              </a:cubicBezTo>
              <a:cubicBezTo>
                <a:pt x="-34828" y="93444"/>
                <a:pt x="350103" y="288938"/>
                <a:pt x="554209" y="281675"/>
              </a:cubicBezTo>
            </a:path>
          </a:pathLst>
        </a:custGeom>
        <a:ln>
          <a:solidFill>
            <a:schemeClr val="tx1"/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 editAs="oneCell">
    <xdr:from>
      <xdr:col>24</xdr:col>
      <xdr:colOff>441960</xdr:colOff>
      <xdr:row>1</xdr:row>
      <xdr:rowOff>152400</xdr:rowOff>
    </xdr:from>
    <xdr:to>
      <xdr:col>24</xdr:col>
      <xdr:colOff>693420</xdr:colOff>
      <xdr:row>2</xdr:row>
      <xdr:rowOff>144780</xdr:rowOff>
    </xdr:to>
    <xdr:pic>
      <xdr:nvPicPr>
        <xdr:cNvPr id="14" name="Picture 4" descr="C:\Users\Luděk Tesař\AppData\Local\Microsoft\Windows\Temporary Internet Files\Content.IE5\YI5B30IU\earth-147591_640[1].png">
          <a:extLst>
            <a:ext uri="{FF2B5EF4-FFF2-40B4-BE49-F238E27FC236}">
              <a16:creationId xmlns:a16="http://schemas.microsoft.com/office/drawing/2014/main" id="{0AADE3AD-108B-4EBC-B5EA-FA130FA58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9738360" y="388620"/>
          <a:ext cx="251460" cy="228600"/>
        </a:xfrm>
        <a:prstGeom prst="rect">
          <a:avLst/>
        </a:prstGeom>
        <a:noFill/>
        <a:effectLst>
          <a:outerShdw blurRad="50800" dist="38100" dir="18900000" algn="bl" rotWithShape="0">
            <a:schemeClr val="tx1">
              <a:lumMod val="95000"/>
              <a:lumOff val="5000"/>
              <a:alpha val="40000"/>
            </a:schemeClr>
          </a:outerShdw>
        </a:effectLst>
        <a:scene3d>
          <a:camera prst="orthographicFront"/>
          <a:lightRig rig="threePt" dir="t"/>
        </a:scene3d>
        <a:sp3d prstMaterial="metal"/>
      </xdr:spPr>
    </xdr:pic>
    <xdr:clientData/>
  </xdr:twoCellAnchor>
  <xdr:twoCellAnchor>
    <xdr:from>
      <xdr:col>13</xdr:col>
      <xdr:colOff>504826</xdr:colOff>
      <xdr:row>35</xdr:row>
      <xdr:rowOff>1905</xdr:rowOff>
    </xdr:from>
    <xdr:to>
      <xdr:col>27</xdr:col>
      <xdr:colOff>179071</xdr:colOff>
      <xdr:row>36</xdr:row>
      <xdr:rowOff>80010</xdr:rowOff>
    </xdr:to>
    <xdr:cxnSp macro="">
      <xdr:nvCxnSpPr>
        <xdr:cNvPr id="17" name="Přímá spojovací šipka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CxnSpPr/>
      </xdr:nvCxnSpPr>
      <xdr:spPr>
        <a:xfrm rot="16200000" flipV="1">
          <a:off x="7741921" y="3210560"/>
          <a:ext cx="274955" cy="7649845"/>
        </a:xfrm>
        <a:prstGeom prst="curvedConnector4">
          <a:avLst>
            <a:gd name="adj1" fmla="val 29310"/>
            <a:gd name="adj2" fmla="val 103045"/>
          </a:avLst>
        </a:prstGeom>
        <a:ln>
          <a:solidFill>
            <a:schemeClr val="tx1"/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713828</xdr:colOff>
      <xdr:row>2</xdr:row>
      <xdr:rowOff>61309</xdr:rowOff>
    </xdr:from>
    <xdr:to>
      <xdr:col>15</xdr:col>
      <xdr:colOff>965288</xdr:colOff>
      <xdr:row>3</xdr:row>
      <xdr:rowOff>53689</xdr:rowOff>
    </xdr:to>
    <xdr:pic>
      <xdr:nvPicPr>
        <xdr:cNvPr id="2" name="Picture 4" descr="C:\Users\Luděk Tesař\AppData\Local\Microsoft\Windows\Temporary Internet Files\Content.IE5\YI5B30IU\earth-147591_640[1].png">
          <a:extLst>
            <a:ext uri="{FF2B5EF4-FFF2-40B4-BE49-F238E27FC236}">
              <a16:creationId xmlns:a16="http://schemas.microsoft.com/office/drawing/2014/main" id="{4492A969-2932-4643-BEA9-159050C71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colorTemperature colorTemp="3307"/>
                  </a14:imgEffect>
                  <a14:imgEffect>
                    <a14:saturation sat="74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5513552" y="534275"/>
          <a:ext cx="251460" cy="228862"/>
        </a:xfrm>
        <a:prstGeom prst="rect">
          <a:avLst/>
        </a:prstGeom>
        <a:noFill/>
        <a:effectLst>
          <a:outerShdw blurRad="50800" dist="38100" dir="18900000" algn="bl" rotWithShape="0">
            <a:schemeClr val="tx1">
              <a:lumMod val="95000"/>
              <a:lumOff val="5000"/>
              <a:alpha val="40000"/>
            </a:schemeClr>
          </a:outerShdw>
        </a:effectLst>
        <a:scene3d>
          <a:camera prst="orthographicFront"/>
          <a:lightRig rig="threePt" dir="t"/>
        </a:scene3d>
        <a:sp3d prstMaterial="metal"/>
      </xdr:spPr>
    </xdr:pic>
    <xdr:clientData/>
  </xdr:twoCellAnchor>
  <xdr:twoCellAnchor>
    <xdr:from>
      <xdr:col>15</xdr:col>
      <xdr:colOff>965288</xdr:colOff>
      <xdr:row>1</xdr:row>
      <xdr:rowOff>100724</xdr:rowOff>
    </xdr:from>
    <xdr:to>
      <xdr:col>17</xdr:col>
      <xdr:colOff>271517</xdr:colOff>
      <xdr:row>2</xdr:row>
      <xdr:rowOff>175740</xdr:rowOff>
    </xdr:to>
    <xdr:cxnSp macro="">
      <xdr:nvCxnSpPr>
        <xdr:cNvPr id="5" name="Přímá spojnice se šipkou 4">
          <a:extLst>
            <a:ext uri="{FF2B5EF4-FFF2-40B4-BE49-F238E27FC236}">
              <a16:creationId xmlns:a16="http://schemas.microsoft.com/office/drawing/2014/main" id="{851D21F3-78C7-5F87-2E52-93CE849B62DA}"/>
            </a:ext>
          </a:extLst>
        </xdr:cNvPr>
        <xdr:cNvCxnSpPr>
          <a:stCxn id="2" idx="3"/>
        </xdr:cNvCxnSpPr>
      </xdr:nvCxnSpPr>
      <xdr:spPr>
        <a:xfrm flipV="1">
          <a:off x="5765012" y="337207"/>
          <a:ext cx="427333" cy="31149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1070295</xdr:colOff>
      <xdr:row>17</xdr:row>
      <xdr:rowOff>137306</xdr:rowOff>
    </xdr:from>
    <xdr:to>
      <xdr:col>8</xdr:col>
      <xdr:colOff>523420</xdr:colOff>
      <xdr:row>74</xdr:row>
      <xdr:rowOff>100238</xdr:rowOff>
    </xdr:to>
    <xdr:grpSp>
      <xdr:nvGrpSpPr>
        <xdr:cNvPr id="6" name="Skupina 5">
          <a:extLst>
            <a:ext uri="{FF2B5EF4-FFF2-40B4-BE49-F238E27FC236}">
              <a16:creationId xmlns:a16="http://schemas.microsoft.com/office/drawing/2014/main" id="{2526C1BE-ECE6-46F5-AF96-E7C5609CD75F}"/>
            </a:ext>
          </a:extLst>
        </xdr:cNvPr>
        <xdr:cNvGrpSpPr/>
      </xdr:nvGrpSpPr>
      <xdr:grpSpPr>
        <a:xfrm>
          <a:off x="4245295" y="3974520"/>
          <a:ext cx="9994125" cy="10304361"/>
          <a:chOff x="4223986" y="3531167"/>
          <a:chExt cx="9464800" cy="9878882"/>
        </a:xfrm>
      </xdr:grpSpPr>
      <xdr:graphicFrame macro="">
        <xdr:nvGraphicFramePr>
          <xdr:cNvPr id="2" name="Graf 1">
            <a:extLst>
              <a:ext uri="{FF2B5EF4-FFF2-40B4-BE49-F238E27FC236}">
                <a16:creationId xmlns:a16="http://schemas.microsoft.com/office/drawing/2014/main" id="{00000000-0008-0000-0800-000002000000}"/>
              </a:ext>
            </a:extLst>
          </xdr:cNvPr>
          <xdr:cNvGraphicFramePr/>
        </xdr:nvGraphicFramePr>
        <xdr:xfrm>
          <a:off x="4223986" y="8046357"/>
          <a:ext cx="9452740" cy="22272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8" name="Graf 7">
            <a:extLst>
              <a:ext uri="{FF2B5EF4-FFF2-40B4-BE49-F238E27FC236}">
                <a16:creationId xmlns:a16="http://schemas.microsoft.com/office/drawing/2014/main" id="{F0A3D4A0-03C8-4818-A6AD-D1FC094A0207}"/>
              </a:ext>
            </a:extLst>
          </xdr:cNvPr>
          <xdr:cNvGraphicFramePr/>
        </xdr:nvGraphicFramePr>
        <xdr:xfrm>
          <a:off x="4227289" y="10265192"/>
          <a:ext cx="9461497" cy="314485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1" name="Graf 10">
            <a:extLst>
              <a:ext uri="{FF2B5EF4-FFF2-40B4-BE49-F238E27FC236}">
                <a16:creationId xmlns:a16="http://schemas.microsoft.com/office/drawing/2014/main" id="{E8804E94-96AE-4218-B710-D5FF4350A120}"/>
              </a:ext>
            </a:extLst>
          </xdr:cNvPr>
          <xdr:cNvGraphicFramePr/>
        </xdr:nvGraphicFramePr>
        <xdr:xfrm>
          <a:off x="4224503" y="3531167"/>
          <a:ext cx="9452219" cy="453361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3" name="TextovéPole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 txBox="1"/>
        </xdr:nvSpPr>
        <xdr:spPr>
          <a:xfrm>
            <a:off x="10929776" y="7825839"/>
            <a:ext cx="2738542" cy="2120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r"/>
            <a:r>
              <a:rPr lang="cs-CZ" sz="800" b="0"/>
              <a:t>www.cityfinance.cz</a:t>
            </a:r>
          </a:p>
        </xdr:txBody>
      </xdr:sp>
      <xdr:sp macro="" textlink="">
        <xdr:nvSpPr>
          <xdr:cNvPr id="4" name="TextovéPole 3">
            <a:extLst>
              <a:ext uri="{FF2B5EF4-FFF2-40B4-BE49-F238E27FC236}">
                <a16:creationId xmlns:a16="http://schemas.microsoft.com/office/drawing/2014/main" id="{AECCAF14-BB9F-439A-8BA6-E1D13106E4F4}"/>
              </a:ext>
            </a:extLst>
          </xdr:cNvPr>
          <xdr:cNvSpPr txBox="1"/>
        </xdr:nvSpPr>
        <xdr:spPr>
          <a:xfrm>
            <a:off x="10877468" y="4401124"/>
            <a:ext cx="2779486" cy="336401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cs-CZ" sz="1400"/>
              <a:t>Vysvětlivky pro všechny zde uvedené grafy:</a:t>
            </a:r>
          </a:p>
          <a:p>
            <a:endParaRPr lang="cs-CZ" sz="1400"/>
          </a:p>
          <a:p>
            <a:r>
              <a:rPr lang="cs-CZ" sz="1400"/>
              <a:t>ZELENÁ = využitelné vlastní finance po úhradě provozu</a:t>
            </a:r>
          </a:p>
          <a:p>
            <a:endParaRPr lang="cs-CZ" sz="1400"/>
          </a:p>
          <a:p>
            <a:r>
              <a:rPr lang="cs-CZ" sz="1400"/>
              <a:t>ORANŽOVÁ = využitelné cizí finance (limit dluhu do</a:t>
            </a:r>
            <a:r>
              <a:rPr lang="cs-CZ" sz="1400" baseline="0"/>
              <a:t> bezpečného stropu zadluženosti</a:t>
            </a:r>
            <a:r>
              <a:rPr lang="cs-CZ" sz="1400"/>
              <a:t>)</a:t>
            </a:r>
          </a:p>
          <a:p>
            <a:endParaRPr lang="cs-CZ" sz="1400"/>
          </a:p>
          <a:p>
            <a:r>
              <a:rPr lang="cs-CZ" sz="1400"/>
              <a:t>ČERVENÁ</a:t>
            </a:r>
            <a:r>
              <a:rPr lang="cs-CZ" sz="1400" baseline="0"/>
              <a:t> = cizí finance již čerpané (dle rozpočtu)</a:t>
            </a:r>
            <a:endParaRPr lang="cs-CZ" sz="1400"/>
          </a:p>
          <a:p>
            <a:endParaRPr lang="cs-CZ" sz="1400"/>
          </a:p>
          <a:p>
            <a:r>
              <a:rPr lang="cs-CZ" sz="1400"/>
              <a:t>ŠEDÁ =</a:t>
            </a:r>
            <a:r>
              <a:rPr lang="cs-CZ" sz="1400" baseline="0"/>
              <a:t> finance spotřebované na splátky dosavadního dluhu</a:t>
            </a:r>
            <a:endParaRPr lang="cs-CZ" sz="1400"/>
          </a:p>
          <a:p>
            <a:endParaRPr lang="cs-CZ" sz="1400"/>
          </a:p>
        </xdr:txBody>
      </xdr:sp>
      <xdr:sp macro="" textlink="">
        <xdr:nvSpPr>
          <xdr:cNvPr id="9" name="TextovéPole 8">
            <a:extLst>
              <a:ext uri="{FF2B5EF4-FFF2-40B4-BE49-F238E27FC236}">
                <a16:creationId xmlns:a16="http://schemas.microsoft.com/office/drawing/2014/main" id="{E0BD54EA-9445-4014-81DB-A34C05EB8593}"/>
              </a:ext>
            </a:extLst>
          </xdr:cNvPr>
          <xdr:cNvSpPr txBox="1"/>
        </xdr:nvSpPr>
        <xdr:spPr>
          <a:xfrm>
            <a:off x="12155708" y="10302086"/>
            <a:ext cx="1509534" cy="1941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r"/>
            <a:r>
              <a:rPr lang="cs-CZ" sz="800" b="0"/>
              <a:t>www.cityfinance.cz</a:t>
            </a:r>
          </a:p>
        </xdr:txBody>
      </xdr:sp>
      <xdr:sp macro="" textlink="">
        <xdr:nvSpPr>
          <xdr:cNvPr id="5" name="TextovéPole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 txBox="1"/>
        </xdr:nvSpPr>
        <xdr:spPr>
          <a:xfrm>
            <a:off x="12270657" y="10032955"/>
            <a:ext cx="1388527" cy="1950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r"/>
            <a:r>
              <a:rPr lang="cs-CZ" sz="800" b="0"/>
              <a:t>www.cityfinance.cz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prispevekobce.cz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ityfinance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ityfinance.c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63"/>
  <sheetViews>
    <sheetView showGridLines="0" zoomScale="70" zoomScaleNormal="70" zoomScaleSheetLayoutView="70" workbookViewId="0">
      <pane xSplit="3" ySplit="2" topLeftCell="D3" activePane="bottomRight" state="frozen"/>
      <selection activeCell="T35" sqref="T35:Z35"/>
      <selection pane="topRight" activeCell="T35" sqref="T35:Z35"/>
      <selection pane="bottomLeft" activeCell="T35" sqref="T35:Z35"/>
      <selection pane="bottomRight" sqref="A1:AE56"/>
    </sheetView>
  </sheetViews>
  <sheetFormatPr defaultColWidth="8.81640625" defaultRowHeight="13" x14ac:dyDescent="0.3"/>
  <cols>
    <col min="1" max="1" width="3.54296875" style="10" customWidth="1"/>
    <col min="2" max="2" width="13.81640625" style="157" customWidth="1"/>
    <col min="3" max="3" width="51.81640625" style="18" customWidth="1"/>
    <col min="4" max="6" width="8.54296875" style="10" hidden="1" customWidth="1"/>
    <col min="7" max="9" width="9.81640625" style="10" hidden="1" customWidth="1"/>
    <col min="10" max="11" width="9.54296875" style="10" hidden="1" customWidth="1"/>
    <col min="12" max="14" width="10.453125" style="10" hidden="1" customWidth="1"/>
    <col min="15" max="21" width="10.54296875" style="10" hidden="1" customWidth="1"/>
    <col min="22" max="25" width="9.453125" style="10" customWidth="1"/>
    <col min="26" max="26" width="10.1796875" style="10" customWidth="1"/>
    <col min="27" max="30" width="9.81640625" style="222" customWidth="1"/>
    <col min="31" max="31" width="11.1796875" style="222" customWidth="1"/>
    <col min="32" max="32" width="10.54296875" style="16" customWidth="1"/>
    <col min="33" max="33" width="12.54296875" style="16" customWidth="1"/>
    <col min="34" max="36" width="4.81640625" style="16" customWidth="1"/>
    <col min="37" max="42" width="5.81640625" style="16" customWidth="1"/>
    <col min="43" max="43" width="16.1796875" style="10" customWidth="1"/>
    <col min="44" max="44" width="8.81640625" style="281"/>
    <col min="45" max="45" width="8.81640625" style="10"/>
    <col min="46" max="46" width="9.54296875" style="10" bestFit="1" customWidth="1"/>
    <col min="47" max="48" width="8.81640625" style="10"/>
    <col min="49" max="49" width="12.81640625" style="10" bestFit="1" customWidth="1"/>
    <col min="50" max="16384" width="8.81640625" style="10"/>
  </cols>
  <sheetData>
    <row r="1" spans="1:49" s="11" customFormat="1" ht="15.5" x14ac:dyDescent="0.35">
      <c r="A1" s="26"/>
      <c r="B1" s="144"/>
      <c r="C1" s="28" t="s">
        <v>196</v>
      </c>
      <c r="D1" s="29"/>
      <c r="E1" s="29" t="s">
        <v>163</v>
      </c>
      <c r="F1" s="29"/>
      <c r="G1" s="29" t="s">
        <v>163</v>
      </c>
      <c r="H1" s="29"/>
      <c r="I1" s="29" t="s">
        <v>163</v>
      </c>
      <c r="J1" s="29"/>
      <c r="K1" s="29"/>
      <c r="L1" s="412"/>
      <c r="M1" s="412"/>
      <c r="N1" s="412"/>
      <c r="O1" s="412"/>
      <c r="P1" s="412"/>
      <c r="Q1" s="412" t="s">
        <v>163</v>
      </c>
      <c r="R1" s="412"/>
      <c r="S1" s="412"/>
      <c r="T1" s="412"/>
      <c r="U1" s="412"/>
      <c r="V1" s="29"/>
      <c r="W1" s="29"/>
      <c r="X1" s="29"/>
      <c r="Y1" s="29"/>
      <c r="Z1" s="522"/>
      <c r="AA1" s="29"/>
      <c r="AB1" s="29"/>
      <c r="AC1" s="29"/>
      <c r="AD1" s="412"/>
      <c r="AE1" s="30" t="s">
        <v>0</v>
      </c>
      <c r="AF1" s="33"/>
      <c r="AG1" s="34"/>
      <c r="AH1" s="34"/>
      <c r="AI1" s="34" t="s">
        <v>55</v>
      </c>
      <c r="AJ1" s="34"/>
      <c r="AK1" s="34"/>
      <c r="AL1" s="34"/>
      <c r="AM1" s="34"/>
      <c r="AN1" s="34"/>
      <c r="AO1" s="34"/>
      <c r="AP1" s="34"/>
      <c r="AR1" s="511" t="s">
        <v>210</v>
      </c>
      <c r="AT1" s="517">
        <f>AA4+AA6+AA7+AA9</f>
        <v>37550</v>
      </c>
      <c r="AU1" s="517">
        <f>AT1+AV1</f>
        <v>47550</v>
      </c>
      <c r="AV1" s="518">
        <v>10000</v>
      </c>
      <c r="AW1" s="11">
        <f>AU1/AT1*100</f>
        <v>126.63115845539281</v>
      </c>
    </row>
    <row r="2" spans="1:49" s="11" customFormat="1" ht="73.5" customHeight="1" x14ac:dyDescent="0.35">
      <c r="A2" s="19" t="s">
        <v>1</v>
      </c>
      <c r="B2" s="145" t="s">
        <v>2</v>
      </c>
      <c r="C2" s="21" t="s">
        <v>152</v>
      </c>
      <c r="D2" s="22">
        <f>ZDROJ!E3</f>
        <v>2004</v>
      </c>
      <c r="E2" s="22">
        <f>ZDROJ!F3</f>
        <v>2005</v>
      </c>
      <c r="F2" s="22">
        <f>ZDROJ!G3</f>
        <v>2006</v>
      </c>
      <c r="G2" s="22">
        <f>ZDROJ!H3</f>
        <v>2007</v>
      </c>
      <c r="H2" s="22">
        <f>ZDROJ!I3</f>
        <v>2008</v>
      </c>
      <c r="I2" s="22">
        <f>ZDROJ!J3</f>
        <v>2009</v>
      </c>
      <c r="J2" s="22">
        <f>ZDROJ!K3</f>
        <v>2010</v>
      </c>
      <c r="K2" s="22">
        <f>ZDROJ!L3</f>
        <v>2011</v>
      </c>
      <c r="L2" s="22">
        <f>ZDROJ!M3</f>
        <v>2012</v>
      </c>
      <c r="M2" s="22">
        <f>ZDROJ!N3</f>
        <v>2013</v>
      </c>
      <c r="N2" s="22">
        <f>ZDROJ!O3</f>
        <v>2014</v>
      </c>
      <c r="O2" s="22">
        <f>ZDROJ!P3</f>
        <v>2015</v>
      </c>
      <c r="P2" s="22">
        <f>ZDROJ!Q3</f>
        <v>2016</v>
      </c>
      <c r="Q2" s="22">
        <f>ZDROJ!R3</f>
        <v>2017</v>
      </c>
      <c r="R2" s="22">
        <f>ZDROJ!S3</f>
        <v>2018</v>
      </c>
      <c r="S2" s="22">
        <f>ZDROJ!T3</f>
        <v>2019</v>
      </c>
      <c r="T2" s="22">
        <f>ZDROJ!U3</f>
        <v>2020</v>
      </c>
      <c r="U2" s="22">
        <f>ZDROJ!V3</f>
        <v>2021</v>
      </c>
      <c r="V2" s="22">
        <f>ZDROJ!W3</f>
        <v>2022</v>
      </c>
      <c r="W2" s="22">
        <f>ZDROJ!X3</f>
        <v>2023</v>
      </c>
      <c r="X2" s="22">
        <f>ZDROJ!Y3</f>
        <v>2024</v>
      </c>
      <c r="Y2" s="22">
        <f>ZDROJ!Z3</f>
        <v>2025</v>
      </c>
      <c r="Z2" s="461" t="str">
        <f>ZDROJ!AD2</f>
        <v>2026 rozpočet duben</v>
      </c>
      <c r="AA2" s="22" t="s">
        <v>208</v>
      </c>
      <c r="AB2" s="22" t="s">
        <v>215</v>
      </c>
      <c r="AC2" s="22" t="s">
        <v>236</v>
      </c>
      <c r="AD2" s="22" t="s">
        <v>253</v>
      </c>
      <c r="AE2" s="22" t="s">
        <v>269</v>
      </c>
      <c r="AF2" s="23" t="s">
        <v>270</v>
      </c>
      <c r="AG2" s="24" t="s">
        <v>226</v>
      </c>
      <c r="AH2" s="25" t="s">
        <v>237</v>
      </c>
      <c r="AI2" s="25" t="s">
        <v>254</v>
      </c>
      <c r="AJ2" s="25" t="s">
        <v>271</v>
      </c>
      <c r="AK2" s="25" t="s">
        <v>272</v>
      </c>
      <c r="AL2" s="406" t="s">
        <v>209</v>
      </c>
      <c r="AM2" s="406" t="s">
        <v>216</v>
      </c>
      <c r="AN2" s="406" t="s">
        <v>238</v>
      </c>
      <c r="AO2" s="406" t="s">
        <v>255</v>
      </c>
      <c r="AP2" s="406" t="s">
        <v>273</v>
      </c>
      <c r="AQ2" s="11" t="s">
        <v>262</v>
      </c>
      <c r="AR2" s="462" t="s">
        <v>274</v>
      </c>
      <c r="AS2" s="11" t="s">
        <v>210</v>
      </c>
      <c r="AU2" s="11">
        <f>Y3*1.2</f>
        <v>38862.324000000001</v>
      </c>
    </row>
    <row r="3" spans="1:49" s="65" customFormat="1" ht="15.5" x14ac:dyDescent="0.35">
      <c r="A3" s="60">
        <v>1</v>
      </c>
      <c r="B3" s="146">
        <v>1</v>
      </c>
      <c r="C3" s="60" t="s">
        <v>4</v>
      </c>
      <c r="D3" s="61">
        <f>ZDROJ!E4</f>
        <v>6681.91</v>
      </c>
      <c r="E3" s="61">
        <f>ZDROJ!F4</f>
        <v>7263.29</v>
      </c>
      <c r="F3" s="61">
        <f>ZDROJ!G4</f>
        <v>7214.68</v>
      </c>
      <c r="G3" s="61">
        <f>ZDROJ!H4</f>
        <v>8745.68</v>
      </c>
      <c r="H3" s="61">
        <f>ZDROJ!I4</f>
        <v>8809.7900000000009</v>
      </c>
      <c r="I3" s="61">
        <f>ZDROJ!J4</f>
        <v>8510.66</v>
      </c>
      <c r="J3" s="61">
        <f>ZDROJ!K4</f>
        <v>8270.4</v>
      </c>
      <c r="K3" s="61">
        <f>ZDROJ!L4</f>
        <v>8554.9599999999991</v>
      </c>
      <c r="L3" s="61">
        <f>ZDROJ!M4</f>
        <v>8680.99</v>
      </c>
      <c r="M3" s="61">
        <f>ZDROJ!N4</f>
        <v>12017.29</v>
      </c>
      <c r="N3" s="61">
        <f>ZDROJ!O4</f>
        <v>13006.91</v>
      </c>
      <c r="O3" s="61">
        <f>ZDROJ!P4</f>
        <v>13754.08</v>
      </c>
      <c r="P3" s="61">
        <f>ZDROJ!Q4</f>
        <v>14811.62</v>
      </c>
      <c r="Q3" s="61">
        <f>ZDROJ!R4</f>
        <v>16663.09</v>
      </c>
      <c r="R3" s="61">
        <f>ZDROJ!S4</f>
        <v>19284.41</v>
      </c>
      <c r="S3" s="61">
        <f>ZDROJ!T4</f>
        <v>21144.04</v>
      </c>
      <c r="T3" s="61">
        <f>ZDROJ!U4</f>
        <v>19963.330000000002</v>
      </c>
      <c r="U3" s="61">
        <f>ZDROJ!V4</f>
        <v>22699.4</v>
      </c>
      <c r="V3" s="61">
        <f>ZDROJ!W4</f>
        <v>26360.65</v>
      </c>
      <c r="W3" s="61">
        <f>ZDROJ!X4</f>
        <v>30074.77</v>
      </c>
      <c r="X3" s="61">
        <f>ZDROJ!Y4</f>
        <v>30757.61</v>
      </c>
      <c r="Y3" s="61">
        <f>ZDROJ!Z4</f>
        <v>32385.27</v>
      </c>
      <c r="Z3" s="61">
        <f>ZDROJ!AD3</f>
        <v>39615</v>
      </c>
      <c r="AA3" s="61">
        <f>SUM(AA4:AA12)</f>
        <v>41670</v>
      </c>
      <c r="AB3" s="61">
        <f>SUM(AB4:AB12)</f>
        <v>44520</v>
      </c>
      <c r="AC3" s="61">
        <f>SUM(AC4:AC12)</f>
        <v>47720</v>
      </c>
      <c r="AD3" s="61">
        <f>SUM(AD4:AD12)</f>
        <v>50870</v>
      </c>
      <c r="AE3" s="61">
        <f>SUM(AE4:AE12)</f>
        <v>54220</v>
      </c>
      <c r="AF3" s="62">
        <f>(((E3/D3)+(F3/E3)+(G3/F3)+(H3/G3)+(I3/H3)+(J3/I3)+(L3/J3)+(M3/L3)+(N3/M3)+(O3/N3)+(P3/O3)+(Q3/P3)+(R3/Q3)+(S3/R3)+(T3/S3)+(U3/T3)+(V3/U3)+(W3/V3)+(X3/W3)+(Y3/X3)+(K3/J3))/21*100)-100</f>
        <v>8.3833237918194783</v>
      </c>
      <c r="AG3" s="199">
        <f>IFERROR(((AVERAGE(AM3:AP3))-100),0)</f>
        <v>6.8034133209754373</v>
      </c>
      <c r="AH3" s="64">
        <f>W3/V3*100</f>
        <v>114.08963739513251</v>
      </c>
      <c r="AI3" s="64">
        <f t="shared" ref="AI3:AN3" si="0">X3/W3*100</f>
        <v>102.27047455392011</v>
      </c>
      <c r="AJ3" s="64">
        <f t="shared" si="0"/>
        <v>105.2918936159214</v>
      </c>
      <c r="AK3" s="64">
        <f t="shared" ref="AK3:AM4" si="1">Z3/Y3*100</f>
        <v>122.32413069275012</v>
      </c>
      <c r="AL3" s="64">
        <f t="shared" si="1"/>
        <v>105.1874290041651</v>
      </c>
      <c r="AM3" s="64">
        <f t="shared" si="1"/>
        <v>106.83945284377249</v>
      </c>
      <c r="AN3" s="64">
        <f t="shared" si="0"/>
        <v>107.18778077268642</v>
      </c>
      <c r="AO3" s="64">
        <f t="shared" ref="AO3:AP18" si="2">AD3/AC3*100</f>
        <v>106.60100586756076</v>
      </c>
      <c r="AP3" s="64">
        <f t="shared" si="2"/>
        <v>106.58541379988205</v>
      </c>
      <c r="AQ3" s="463">
        <f>AVERAGE(AM3:AP3)</f>
        <v>106.80341332097544</v>
      </c>
      <c r="AR3" s="463">
        <f t="shared" ref="AR3:AR12" si="3">((AA3/Y3*100)-100)/2</f>
        <v>14.334804063699323</v>
      </c>
    </row>
    <row r="4" spans="1:49" s="5" customFormat="1" ht="15.5" x14ac:dyDescent="0.35">
      <c r="A4" s="3">
        <v>2</v>
      </c>
      <c r="B4" s="147">
        <v>1111</v>
      </c>
      <c r="C4" s="3" t="s">
        <v>5</v>
      </c>
      <c r="D4" s="4"/>
      <c r="E4" s="4"/>
      <c r="F4" s="4"/>
      <c r="G4" s="4">
        <f>ZDROJ!H5</f>
        <v>1555.64</v>
      </c>
      <c r="H4" s="4">
        <f>ZDROJ!I5</f>
        <v>1527.89</v>
      </c>
      <c r="I4" s="4">
        <f>ZDROJ!J5</f>
        <v>1458.8</v>
      </c>
      <c r="J4" s="4">
        <f>ZDROJ!K5</f>
        <v>1571</v>
      </c>
      <c r="K4" s="4">
        <f>ZDROJ!L5</f>
        <v>1527.58</v>
      </c>
      <c r="L4" s="4">
        <f>ZDROJ!M5</f>
        <v>1588.4</v>
      </c>
      <c r="M4" s="4">
        <f>ZDROJ!N5</f>
        <v>2409.67</v>
      </c>
      <c r="N4" s="4">
        <f>ZDROJ!O5</f>
        <v>2613.81</v>
      </c>
      <c r="O4" s="4">
        <f>ZDROJ!P5</f>
        <v>2565.8000000000002</v>
      </c>
      <c r="P4" s="4">
        <f>ZDROJ!Q5</f>
        <v>2961.93</v>
      </c>
      <c r="Q4" s="4">
        <f>ZDROJ!R5</f>
        <v>3586.18</v>
      </c>
      <c r="R4" s="4">
        <f>ZDROJ!S5</f>
        <v>4296.04</v>
      </c>
      <c r="S4" s="4">
        <f>ZDROJ!T5</f>
        <v>4905.66</v>
      </c>
      <c r="T4" s="4">
        <f>ZDROJ!U5</f>
        <v>4645.38</v>
      </c>
      <c r="U4" s="4">
        <f>ZDROJ!V5</f>
        <v>3543.3</v>
      </c>
      <c r="V4" s="4">
        <f>ZDROJ!W5</f>
        <v>3839.74</v>
      </c>
      <c r="W4" s="4">
        <f>ZDROJ!X5</f>
        <v>4507.82</v>
      </c>
      <c r="X4" s="4">
        <f>ZDROJ!Y5</f>
        <v>4959.82</v>
      </c>
      <c r="Y4" s="4">
        <f>ZDROJ!Z5</f>
        <v>5340.67</v>
      </c>
      <c r="Z4" s="4">
        <f>ZDROJ!AD4</f>
        <v>6960</v>
      </c>
      <c r="AA4" s="4">
        <v>8000</v>
      </c>
      <c r="AB4" s="4">
        <v>8600</v>
      </c>
      <c r="AC4" s="4">
        <v>9200</v>
      </c>
      <c r="AD4" s="4">
        <v>9800</v>
      </c>
      <c r="AE4" s="4">
        <v>10500</v>
      </c>
      <c r="AF4" s="12">
        <f>(((H4/G4)+(I4/H4)+(J4/I4)+(L4/J4)+(M4/L4)+(N4/M4)+(O4/N4)+(P4/O4)+(Q4/P4)+(R4/Q4)+(S4/R4)+(T4/S4)+(U4/T4)+(V4/U4)+(W4/V4)+(X4/W4)+(Y4/X4)+(K4/J4))/18*100)-100</f>
        <v>7.9449288265123243</v>
      </c>
      <c r="AG4" s="13">
        <f t="shared" ref="AG4:AG28" si="4">IFERROR(((AVERAGE(AM4:AP4))-100),0)</f>
        <v>7.0353351148346235</v>
      </c>
      <c r="AH4" s="31">
        <f t="shared" ref="AH4:AH14" si="5">W4/V4*100</f>
        <v>117.39909473037238</v>
      </c>
      <c r="AI4" s="31">
        <f t="shared" ref="AI4:AI14" si="6">X4/W4*100</f>
        <v>110.02701971241086</v>
      </c>
      <c r="AJ4" s="31">
        <f t="shared" ref="AJ4:AJ14" si="7">Y4/X4*100</f>
        <v>107.67870608207556</v>
      </c>
      <c r="AK4" s="31">
        <f t="shared" si="1"/>
        <v>130.32072754916518</v>
      </c>
      <c r="AL4" s="31">
        <f t="shared" si="1"/>
        <v>114.94252873563218</v>
      </c>
      <c r="AM4" s="31">
        <f t="shared" si="1"/>
        <v>107.5</v>
      </c>
      <c r="AN4" s="31">
        <f t="shared" ref="AN4:AN14" si="8">AC4/AB4*100</f>
        <v>106.9767441860465</v>
      </c>
      <c r="AO4" s="31">
        <f t="shared" si="2"/>
        <v>106.5217391304348</v>
      </c>
      <c r="AP4" s="31">
        <f t="shared" si="2"/>
        <v>107.14285714285714</v>
      </c>
      <c r="AQ4" s="463">
        <f t="shared" ref="AQ4:AQ12" si="9">AVERAGE(AM4:AP4)</f>
        <v>107.03533511483462</v>
      </c>
      <c r="AR4" s="463">
        <f t="shared" si="3"/>
        <v>24.896969855842059</v>
      </c>
      <c r="AW4" s="4">
        <f>AA4*($AW$1/100)</f>
        <v>10130.492676431424</v>
      </c>
    </row>
    <row r="5" spans="1:49" s="5" customFormat="1" ht="15.5" x14ac:dyDescent="0.35">
      <c r="A5" s="3">
        <v>3</v>
      </c>
      <c r="B5" s="147">
        <v>1112</v>
      </c>
      <c r="C5" s="3" t="s">
        <v>6</v>
      </c>
      <c r="D5" s="4"/>
      <c r="E5" s="4"/>
      <c r="F5" s="4"/>
      <c r="G5" s="4">
        <f>ZDROJ!H6</f>
        <v>390.17</v>
      </c>
      <c r="H5" s="4">
        <f>ZDROJ!I6</f>
        <v>295.98</v>
      </c>
      <c r="I5" s="4">
        <f>ZDROJ!J6</f>
        <v>316.60000000000002</v>
      </c>
      <c r="J5" s="4">
        <f>ZDROJ!K6</f>
        <v>134.27000000000001</v>
      </c>
      <c r="K5" s="4">
        <f>ZDROJ!L6</f>
        <v>70.430000000000007</v>
      </c>
      <c r="L5" s="4">
        <f>ZDROJ!M6</f>
        <v>64.86</v>
      </c>
      <c r="M5" s="4">
        <f>ZDROJ!N6</f>
        <v>96.78</v>
      </c>
      <c r="N5" s="4">
        <f>ZDROJ!O6</f>
        <v>56.51</v>
      </c>
      <c r="O5" s="4">
        <f>ZDROJ!P6</f>
        <v>160.82</v>
      </c>
      <c r="P5" s="4">
        <f>ZDROJ!Q6</f>
        <v>119.77</v>
      </c>
      <c r="Q5" s="4">
        <f>ZDROJ!R6</f>
        <v>95.05</v>
      </c>
      <c r="R5" s="4">
        <f>ZDROJ!S6</f>
        <v>99.6</v>
      </c>
      <c r="S5" s="4">
        <f>ZDROJ!T6</f>
        <v>133.96</v>
      </c>
      <c r="T5" s="4">
        <f>ZDROJ!U6</f>
        <v>75.06</v>
      </c>
      <c r="U5" s="4">
        <f>ZDROJ!V6</f>
        <v>231.6</v>
      </c>
      <c r="V5" s="4">
        <f>ZDROJ!W6</f>
        <v>349.82</v>
      </c>
      <c r="W5" s="4">
        <f>ZDROJ!X6</f>
        <v>375.57</v>
      </c>
      <c r="X5" s="4">
        <f>ZDROJ!Y6</f>
        <v>365.04</v>
      </c>
      <c r="Y5" s="4">
        <f>ZDROJ!Z6</f>
        <v>505.88</v>
      </c>
      <c r="Z5" s="4">
        <f>ZDROJ!AD5</f>
        <v>690</v>
      </c>
      <c r="AA5" s="4">
        <v>750</v>
      </c>
      <c r="AB5" s="4">
        <v>800</v>
      </c>
      <c r="AC5" s="4">
        <v>850</v>
      </c>
      <c r="AD5" s="4">
        <v>900</v>
      </c>
      <c r="AE5" s="4">
        <v>950</v>
      </c>
      <c r="AF5" s="12">
        <v>1100</v>
      </c>
      <c r="AG5" s="13">
        <f t="shared" si="4"/>
        <v>6.0886437908496731</v>
      </c>
      <c r="AH5" s="31">
        <f t="shared" si="5"/>
        <v>107.36092847750271</v>
      </c>
      <c r="AI5" s="31">
        <f t="shared" si="6"/>
        <v>97.196261682243005</v>
      </c>
      <c r="AJ5" s="31">
        <f t="shared" si="7"/>
        <v>138.58207319745782</v>
      </c>
      <c r="AK5" s="31">
        <f t="shared" ref="AK5:AK14" si="10">Z5/Y5*100</f>
        <v>136.39598323713133</v>
      </c>
      <c r="AL5" s="31">
        <f t="shared" ref="AL5:AM12" si="11">AA5/Z5*100</f>
        <v>108.69565217391303</v>
      </c>
      <c r="AM5" s="31">
        <f t="shared" si="11"/>
        <v>106.66666666666667</v>
      </c>
      <c r="AN5" s="31">
        <f t="shared" si="8"/>
        <v>106.25</v>
      </c>
      <c r="AO5" s="31">
        <f t="shared" si="2"/>
        <v>105.88235294117648</v>
      </c>
      <c r="AP5" s="31">
        <f t="shared" si="2"/>
        <v>105.55555555555556</v>
      </c>
      <c r="AQ5" s="463">
        <f t="shared" si="9"/>
        <v>106.08864379084967</v>
      </c>
      <c r="AR5" s="463">
        <f t="shared" si="3"/>
        <v>24.128251759310501</v>
      </c>
      <c r="AW5" s="4"/>
    </row>
    <row r="6" spans="1:49" s="5" customFormat="1" ht="15.5" x14ac:dyDescent="0.35">
      <c r="A6" s="3">
        <v>4</v>
      </c>
      <c r="B6" s="147">
        <v>1113</v>
      </c>
      <c r="C6" s="3" t="s">
        <v>7</v>
      </c>
      <c r="D6" s="4"/>
      <c r="E6" s="4"/>
      <c r="F6" s="4"/>
      <c r="G6" s="4">
        <f>ZDROJ!H7</f>
        <v>101.15</v>
      </c>
      <c r="H6" s="4">
        <f>ZDROJ!I7</f>
        <v>134.03</v>
      </c>
      <c r="I6" s="4">
        <f>ZDROJ!J7</f>
        <v>130.71</v>
      </c>
      <c r="J6" s="4">
        <f>ZDROJ!K7</f>
        <v>130.32</v>
      </c>
      <c r="K6" s="4">
        <f>ZDROJ!L7</f>
        <v>150.03</v>
      </c>
      <c r="L6" s="4">
        <f>ZDROJ!M7</f>
        <v>180.74</v>
      </c>
      <c r="M6" s="4">
        <f>ZDROJ!N7</f>
        <v>246.9</v>
      </c>
      <c r="N6" s="4">
        <f>ZDROJ!O7</f>
        <v>296.02999999999997</v>
      </c>
      <c r="O6" s="4">
        <f>ZDROJ!P7</f>
        <v>319.93</v>
      </c>
      <c r="P6" s="4">
        <f>ZDROJ!Q7</f>
        <v>327.43</v>
      </c>
      <c r="Q6" s="4">
        <f>ZDROJ!R7</f>
        <v>331.58</v>
      </c>
      <c r="R6" s="4">
        <f>ZDROJ!S7</f>
        <v>394.1</v>
      </c>
      <c r="S6" s="4">
        <f>ZDROJ!T7</f>
        <v>452.03</v>
      </c>
      <c r="T6" s="4">
        <f>ZDROJ!U7</f>
        <v>458.05</v>
      </c>
      <c r="U6" s="4">
        <f>ZDROJ!V7</f>
        <v>600.4</v>
      </c>
      <c r="V6" s="4">
        <f>ZDROJ!W7</f>
        <v>777.6</v>
      </c>
      <c r="W6" s="4">
        <f>ZDROJ!X7</f>
        <v>1083.6400000000001</v>
      </c>
      <c r="X6" s="4">
        <f>ZDROJ!Y7</f>
        <v>1134.98</v>
      </c>
      <c r="Y6" s="4">
        <f>ZDROJ!Z7</f>
        <v>1025.73</v>
      </c>
      <c r="Z6" s="4">
        <f>ZDROJ!AD6</f>
        <v>1240</v>
      </c>
      <c r="AA6" s="4">
        <v>750</v>
      </c>
      <c r="AB6" s="4">
        <v>850</v>
      </c>
      <c r="AC6" s="4">
        <v>900</v>
      </c>
      <c r="AD6" s="4">
        <v>1000</v>
      </c>
      <c r="AE6" s="4">
        <v>1100</v>
      </c>
      <c r="AF6" s="12"/>
      <c r="AG6" s="13">
        <f t="shared" si="4"/>
        <v>10.08169934640523</v>
      </c>
      <c r="AH6" s="31">
        <f t="shared" si="5"/>
        <v>139.35699588477368</v>
      </c>
      <c r="AI6" s="31">
        <f t="shared" si="6"/>
        <v>104.73773577941013</v>
      </c>
      <c r="AJ6" s="31">
        <f t="shared" si="7"/>
        <v>90.374279722990707</v>
      </c>
      <c r="AK6" s="31">
        <f t="shared" si="10"/>
        <v>120.88951283476159</v>
      </c>
      <c r="AL6" s="31">
        <f t="shared" si="11"/>
        <v>60.483870967741936</v>
      </c>
      <c r="AM6" s="31">
        <f t="shared" si="11"/>
        <v>113.33333333333333</v>
      </c>
      <c r="AN6" s="31">
        <f t="shared" si="8"/>
        <v>105.88235294117648</v>
      </c>
      <c r="AO6" s="31">
        <f t="shared" si="2"/>
        <v>111.11111111111111</v>
      </c>
      <c r="AP6" s="31">
        <f t="shared" si="2"/>
        <v>110.00000000000001</v>
      </c>
      <c r="AQ6" s="463">
        <f t="shared" si="9"/>
        <v>110.08169934640523</v>
      </c>
      <c r="AR6" s="463">
        <f t="shared" si="3"/>
        <v>-13.440671521745493</v>
      </c>
      <c r="AW6" s="4">
        <f>AA6*($AW$1/100)</f>
        <v>949.73368841544607</v>
      </c>
    </row>
    <row r="7" spans="1:49" s="5" customFormat="1" ht="15.5" x14ac:dyDescent="0.35">
      <c r="A7" s="3">
        <v>5</v>
      </c>
      <c r="B7" s="147">
        <v>1121</v>
      </c>
      <c r="C7" s="3" t="s">
        <v>8</v>
      </c>
      <c r="D7" s="4"/>
      <c r="E7" s="4"/>
      <c r="F7" s="4"/>
      <c r="G7" s="4">
        <f>ZDROJ!H8</f>
        <v>1836.13</v>
      </c>
      <c r="H7" s="4">
        <f>ZDROJ!I8</f>
        <v>2319</v>
      </c>
      <c r="I7" s="4">
        <f>ZDROJ!J8</f>
        <v>1630.07</v>
      </c>
      <c r="J7" s="4">
        <f>ZDROJ!K8</f>
        <v>1647.36</v>
      </c>
      <c r="K7" s="4">
        <f>ZDROJ!L8</f>
        <v>1566.23</v>
      </c>
      <c r="L7" s="4">
        <f>ZDROJ!M8</f>
        <v>1769.86</v>
      </c>
      <c r="M7" s="4">
        <f>ZDROJ!N8</f>
        <v>2418.1</v>
      </c>
      <c r="N7" s="4">
        <f>ZDROJ!O8</f>
        <v>2831.44</v>
      </c>
      <c r="O7" s="4">
        <f>ZDROJ!P8</f>
        <v>2970.48</v>
      </c>
      <c r="P7" s="4">
        <f>ZDROJ!Q8</f>
        <v>3383.95</v>
      </c>
      <c r="Q7" s="4">
        <f>ZDROJ!R8</f>
        <v>3532.77</v>
      </c>
      <c r="R7" s="4">
        <f>ZDROJ!S8</f>
        <v>3621.71</v>
      </c>
      <c r="S7" s="4">
        <f>ZDROJ!T8</f>
        <v>4209.3900000000003</v>
      </c>
      <c r="T7" s="4">
        <f>ZDROJ!U8</f>
        <v>3428.77</v>
      </c>
      <c r="U7" s="4">
        <f>ZDROJ!V8</f>
        <v>5067.1000000000004</v>
      </c>
      <c r="V7" s="4">
        <f>ZDROJ!W8</f>
        <v>5880.39</v>
      </c>
      <c r="W7" s="4">
        <f>ZDROJ!X8</f>
        <v>7861.17</v>
      </c>
      <c r="X7" s="4">
        <f>ZDROJ!Y8</f>
        <v>7031.92</v>
      </c>
      <c r="Y7" s="4">
        <f>ZDROJ!Z8</f>
        <v>7761.4</v>
      </c>
      <c r="Z7" s="4">
        <f>ZDROJ!AD7</f>
        <v>9430</v>
      </c>
      <c r="AA7" s="4">
        <v>10000</v>
      </c>
      <c r="AB7" s="4">
        <v>10700</v>
      </c>
      <c r="AC7" s="4">
        <v>11500</v>
      </c>
      <c r="AD7" s="4">
        <v>12300</v>
      </c>
      <c r="AE7" s="4">
        <v>13100</v>
      </c>
      <c r="AF7" s="12">
        <f t="shared" ref="AF7:AF12" si="12">(((H7/G7)+(I7/H7)+(J7/I7)+(L7/J7)+(M7/L7)+(N7/M7)+(O7/N7)+(P7/O7)+(Q7/P7)+(R7/Q7)+(S7/R7)+(T7/S7)+(U7/T7)+(V7/U7)+(W7/V7)+(X7/W7)+(Y7/X7)+(K7/J7))/18*100)-100</f>
        <v>9.7028564595300821</v>
      </c>
      <c r="AG7" s="13">
        <f t="shared" si="4"/>
        <v>6.9843055734498876</v>
      </c>
      <c r="AH7" s="31">
        <f t="shared" si="5"/>
        <v>133.68450051782278</v>
      </c>
      <c r="AI7" s="31">
        <f t="shared" si="6"/>
        <v>89.45131577106207</v>
      </c>
      <c r="AJ7" s="31">
        <f t="shared" si="7"/>
        <v>110.37383815515534</v>
      </c>
      <c r="AK7" s="31">
        <f t="shared" si="10"/>
        <v>121.49869868838097</v>
      </c>
      <c r="AL7" s="31">
        <f t="shared" si="11"/>
        <v>106.04453870625663</v>
      </c>
      <c r="AM7" s="31">
        <f t="shared" si="11"/>
        <v>107</v>
      </c>
      <c r="AN7" s="31">
        <f t="shared" si="8"/>
        <v>107.4766355140187</v>
      </c>
      <c r="AO7" s="31">
        <f t="shared" si="2"/>
        <v>106.95652173913044</v>
      </c>
      <c r="AP7" s="31">
        <f t="shared" si="2"/>
        <v>106.5040650406504</v>
      </c>
      <c r="AQ7" s="463">
        <f t="shared" si="9"/>
        <v>106.98430557344989</v>
      </c>
      <c r="AR7" s="463">
        <f t="shared" si="3"/>
        <v>14.421367279099144</v>
      </c>
      <c r="AW7" s="4">
        <f>AA7*($AW$1/100)</f>
        <v>12663.115845539282</v>
      </c>
    </row>
    <row r="8" spans="1:49" s="5" customFormat="1" ht="15.5" x14ac:dyDescent="0.35">
      <c r="A8" s="3">
        <v>6</v>
      </c>
      <c r="B8" s="147">
        <v>1122</v>
      </c>
      <c r="C8" s="3" t="s">
        <v>9</v>
      </c>
      <c r="D8" s="4"/>
      <c r="E8" s="4"/>
      <c r="F8" s="4"/>
      <c r="G8" s="4">
        <f>ZDROJ!H9</f>
        <v>854.16</v>
      </c>
      <c r="H8" s="4">
        <f>ZDROJ!I9</f>
        <v>15.48</v>
      </c>
      <c r="I8" s="4">
        <f>ZDROJ!J9</f>
        <v>151.11000000000001</v>
      </c>
      <c r="J8" s="4">
        <f>ZDROJ!K9</f>
        <v>11.2</v>
      </c>
      <c r="K8" s="4">
        <f>ZDROJ!L9</f>
        <v>62.7</v>
      </c>
      <c r="L8" s="4">
        <f>ZDROJ!M9</f>
        <v>4</v>
      </c>
      <c r="M8" s="4">
        <f>ZDROJ!N9</f>
        <v>0</v>
      </c>
      <c r="N8" s="4">
        <f>ZDROJ!O9</f>
        <v>0</v>
      </c>
      <c r="O8" s="4">
        <f>ZDROJ!P9</f>
        <v>0</v>
      </c>
      <c r="P8" s="4">
        <f>ZDROJ!Q9</f>
        <v>0</v>
      </c>
      <c r="Q8" s="4">
        <f>ZDROJ!R9</f>
        <v>0</v>
      </c>
      <c r="R8" s="4">
        <f>ZDROJ!S9</f>
        <v>0</v>
      </c>
      <c r="S8" s="4">
        <f>ZDROJ!T9</f>
        <v>0</v>
      </c>
      <c r="T8" s="4">
        <f>ZDROJ!U9</f>
        <v>0</v>
      </c>
      <c r="U8" s="4">
        <f>ZDROJ!V9</f>
        <v>0</v>
      </c>
      <c r="V8" s="4">
        <f>ZDROJ!W9</f>
        <v>0</v>
      </c>
      <c r="W8" s="4">
        <f>ZDROJ!X9</f>
        <v>0</v>
      </c>
      <c r="X8" s="4">
        <f>ZDROJ!Y9</f>
        <v>0</v>
      </c>
      <c r="Y8" s="4">
        <f>ZDROJ!Z9</f>
        <v>0</v>
      </c>
      <c r="Z8" s="4">
        <f>ZDROJ!AD8</f>
        <v>0</v>
      </c>
      <c r="AA8" s="4">
        <v>0</v>
      </c>
      <c r="AB8" s="4">
        <v>0</v>
      </c>
      <c r="AC8" s="448">
        <v>0</v>
      </c>
      <c r="AD8" s="4">
        <v>0</v>
      </c>
      <c r="AE8" s="448">
        <v>0</v>
      </c>
      <c r="AF8" s="12"/>
      <c r="AG8" s="13">
        <f t="shared" si="4"/>
        <v>0</v>
      </c>
      <c r="AH8" s="31" t="e">
        <f t="shared" si="5"/>
        <v>#DIV/0!</v>
      </c>
      <c r="AI8" s="31" t="e">
        <f t="shared" si="6"/>
        <v>#DIV/0!</v>
      </c>
      <c r="AJ8" s="31" t="e">
        <f t="shared" si="7"/>
        <v>#DIV/0!</v>
      </c>
      <c r="AK8" s="31" t="e">
        <f t="shared" si="10"/>
        <v>#DIV/0!</v>
      </c>
      <c r="AL8" s="31" t="e">
        <f t="shared" si="11"/>
        <v>#DIV/0!</v>
      </c>
      <c r="AM8" s="31" t="e">
        <f t="shared" si="11"/>
        <v>#DIV/0!</v>
      </c>
      <c r="AN8" s="31" t="e">
        <f t="shared" si="8"/>
        <v>#DIV/0!</v>
      </c>
      <c r="AO8" s="31" t="e">
        <f t="shared" si="2"/>
        <v>#DIV/0!</v>
      </c>
      <c r="AP8" s="31" t="e">
        <f t="shared" si="2"/>
        <v>#DIV/0!</v>
      </c>
      <c r="AQ8" s="463"/>
      <c r="AR8" s="463" t="e">
        <f t="shared" si="3"/>
        <v>#DIV/0!</v>
      </c>
      <c r="AW8" s="4"/>
    </row>
    <row r="9" spans="1:49" s="5" customFormat="1" ht="13" customHeight="1" x14ac:dyDescent="0.35">
      <c r="A9" s="3">
        <v>7</v>
      </c>
      <c r="B9" s="147">
        <v>1211</v>
      </c>
      <c r="C9" s="3" t="s">
        <v>10</v>
      </c>
      <c r="D9" s="4"/>
      <c r="E9" s="4"/>
      <c r="F9" s="4"/>
      <c r="G9" s="4">
        <f>ZDROJ!H10</f>
        <v>2781.27</v>
      </c>
      <c r="H9" s="4">
        <f>ZDROJ!I10</f>
        <v>3324.26</v>
      </c>
      <c r="I9" s="4">
        <f>ZDROJ!J10</f>
        <v>3279.36</v>
      </c>
      <c r="J9" s="4">
        <f>ZDROJ!K10</f>
        <v>3423.55</v>
      </c>
      <c r="K9" s="4">
        <f>ZDROJ!L10</f>
        <v>3723.56</v>
      </c>
      <c r="L9" s="4">
        <f>ZDROJ!M10</f>
        <v>3532.29</v>
      </c>
      <c r="M9" s="4">
        <f>ZDROJ!N10</f>
        <v>5128.6899999999996</v>
      </c>
      <c r="N9" s="4">
        <f>ZDROJ!O10</f>
        <v>5424.87</v>
      </c>
      <c r="O9" s="4">
        <f>ZDROJ!P10</f>
        <v>5871.13</v>
      </c>
      <c r="P9" s="4">
        <f>ZDROJ!Q10</f>
        <v>6199.72</v>
      </c>
      <c r="Q9" s="4">
        <f>ZDROJ!R10</f>
        <v>7153.51</v>
      </c>
      <c r="R9" s="4">
        <f>ZDROJ!S10</f>
        <v>8891.81</v>
      </c>
      <c r="S9" s="4">
        <f>ZDROJ!T10</f>
        <v>9473.14</v>
      </c>
      <c r="T9" s="4">
        <f>ZDROJ!U10</f>
        <v>9401.64</v>
      </c>
      <c r="U9" s="4">
        <f>ZDROJ!V10</f>
        <v>11320.6</v>
      </c>
      <c r="V9" s="4">
        <f>ZDROJ!W10</f>
        <v>13354.72</v>
      </c>
      <c r="W9" s="4">
        <f>ZDROJ!X10</f>
        <v>14138.44</v>
      </c>
      <c r="X9" s="4">
        <f>ZDROJ!Y10</f>
        <v>14110.18</v>
      </c>
      <c r="Y9" s="4">
        <f>ZDROJ!Z10</f>
        <v>14492.95</v>
      </c>
      <c r="Z9" s="4">
        <f>ZDROJ!AD9</f>
        <v>17910</v>
      </c>
      <c r="AA9" s="4">
        <v>18800</v>
      </c>
      <c r="AB9" s="4">
        <v>20100</v>
      </c>
      <c r="AC9" s="4">
        <v>21500</v>
      </c>
      <c r="AD9" s="4">
        <v>23000</v>
      </c>
      <c r="AE9" s="4">
        <v>24600</v>
      </c>
      <c r="AF9" s="12">
        <f t="shared" si="12"/>
        <v>10.640498054538568</v>
      </c>
      <c r="AG9" s="13">
        <f t="shared" si="4"/>
        <v>6.9533334178878619</v>
      </c>
      <c r="AH9" s="31">
        <f t="shared" si="5"/>
        <v>105.86848694693711</v>
      </c>
      <c r="AI9" s="31">
        <f t="shared" si="6"/>
        <v>99.80011939082388</v>
      </c>
      <c r="AJ9" s="31">
        <f t="shared" si="7"/>
        <v>102.71272230403865</v>
      </c>
      <c r="AK9" s="31">
        <f>Z9/Y9*100</f>
        <v>123.5773255272391</v>
      </c>
      <c r="AL9" s="31">
        <f t="shared" si="11"/>
        <v>104.96929089893914</v>
      </c>
      <c r="AM9" s="31">
        <f t="shared" si="11"/>
        <v>106.91489361702126</v>
      </c>
      <c r="AN9" s="31">
        <f t="shared" si="8"/>
        <v>106.96517412935323</v>
      </c>
      <c r="AO9" s="31">
        <f t="shared" si="2"/>
        <v>106.9767441860465</v>
      </c>
      <c r="AP9" s="31">
        <f t="shared" si="2"/>
        <v>106.95652173913044</v>
      </c>
      <c r="AQ9" s="463">
        <f t="shared" si="9"/>
        <v>106.95333341788786</v>
      </c>
      <c r="AR9" s="463">
        <f t="shared" si="3"/>
        <v>14.859121158908295</v>
      </c>
      <c r="AW9" s="4">
        <f>AA9*($AW$1/100)</f>
        <v>23806.657789613848</v>
      </c>
    </row>
    <row r="10" spans="1:49" s="5" customFormat="1" ht="23" x14ac:dyDescent="0.35">
      <c r="A10" s="3">
        <v>8</v>
      </c>
      <c r="B10" s="147" t="s">
        <v>175</v>
      </c>
      <c r="C10" s="3" t="s">
        <v>178</v>
      </c>
      <c r="D10" s="4"/>
      <c r="E10" s="4"/>
      <c r="F10" s="4"/>
      <c r="G10" s="4">
        <f>ZDROJ!H11</f>
        <v>567.27</v>
      </c>
      <c r="H10" s="4">
        <f>ZDROJ!I11</f>
        <v>565.41999999999996</v>
      </c>
      <c r="I10" s="4">
        <f>ZDROJ!J11</f>
        <v>856.5</v>
      </c>
      <c r="J10" s="4">
        <f>ZDROJ!K11</f>
        <v>539.59</v>
      </c>
      <c r="K10" s="4">
        <f>ZDROJ!L11</f>
        <v>542.72</v>
      </c>
      <c r="L10" s="4">
        <f>ZDROJ!M11</f>
        <v>687.29</v>
      </c>
      <c r="M10" s="4">
        <f>ZDROJ!N11</f>
        <v>864.2</v>
      </c>
      <c r="N10" s="4">
        <f>ZDROJ!O11</f>
        <v>887.59</v>
      </c>
      <c r="O10" s="4">
        <f>ZDROJ!P11</f>
        <v>914.57</v>
      </c>
      <c r="P10" s="4">
        <f>ZDROJ!Q11</f>
        <v>905.88</v>
      </c>
      <c r="Q10" s="4">
        <f>ZDROJ!R11</f>
        <v>1010.96</v>
      </c>
      <c r="R10" s="4">
        <f>ZDROJ!S11</f>
        <v>975.5</v>
      </c>
      <c r="S10" s="4">
        <f>ZDROJ!T11</f>
        <v>896.95</v>
      </c>
      <c r="T10" s="4">
        <f>ZDROJ!U11</f>
        <v>990.02</v>
      </c>
      <c r="U10" s="4">
        <f>ZDROJ!V11</f>
        <v>980.2</v>
      </c>
      <c r="V10" s="4">
        <f>ZDROJ!W11</f>
        <v>1072.33</v>
      </c>
      <c r="W10" s="4">
        <f>ZDROJ!X11</f>
        <v>1071.23</v>
      </c>
      <c r="X10" s="4">
        <f>ZDROJ!Y11</f>
        <v>1447.04</v>
      </c>
      <c r="Y10" s="4">
        <f>ZDROJ!Z11</f>
        <v>1508.42</v>
      </c>
      <c r="Z10" s="4">
        <f>ZDROJ!AD10</f>
        <v>1610</v>
      </c>
      <c r="AA10" s="4">
        <v>1600</v>
      </c>
      <c r="AB10" s="4">
        <v>1700</v>
      </c>
      <c r="AC10" s="4">
        <v>1800</v>
      </c>
      <c r="AD10" s="4">
        <v>1900</v>
      </c>
      <c r="AE10" s="4">
        <v>2000</v>
      </c>
      <c r="AF10" s="12">
        <f t="shared" si="12"/>
        <v>7.2604056527068508</v>
      </c>
      <c r="AG10" s="13">
        <f t="shared" si="4"/>
        <v>5.737766597867207</v>
      </c>
      <c r="AH10" s="31">
        <f t="shared" si="5"/>
        <v>99.897419637611563</v>
      </c>
      <c r="AI10" s="31">
        <f t="shared" si="6"/>
        <v>135.08210188288231</v>
      </c>
      <c r="AJ10" s="31">
        <f t="shared" si="7"/>
        <v>104.24176249447147</v>
      </c>
      <c r="AK10" s="31">
        <f t="shared" si="10"/>
        <v>106.73419869797536</v>
      </c>
      <c r="AL10" s="31">
        <f t="shared" si="11"/>
        <v>99.378881987577643</v>
      </c>
      <c r="AM10" s="31">
        <f t="shared" si="11"/>
        <v>106.25</v>
      </c>
      <c r="AN10" s="31">
        <f t="shared" si="8"/>
        <v>105.88235294117648</v>
      </c>
      <c r="AO10" s="31">
        <f t="shared" si="2"/>
        <v>105.55555555555556</v>
      </c>
      <c r="AP10" s="31">
        <f t="shared" si="2"/>
        <v>105.26315789473684</v>
      </c>
      <c r="AQ10" s="463">
        <f t="shared" si="9"/>
        <v>105.73776659786721</v>
      </c>
      <c r="AR10" s="463">
        <f t="shared" si="3"/>
        <v>3.0356266822237785</v>
      </c>
      <c r="AU10" s="5">
        <v>14750</v>
      </c>
      <c r="AW10" s="4"/>
    </row>
    <row r="11" spans="1:49" s="5" customFormat="1" ht="13.5" customHeight="1" x14ac:dyDescent="0.35">
      <c r="A11" s="3">
        <v>9</v>
      </c>
      <c r="B11" s="147">
        <v>1361</v>
      </c>
      <c r="C11" s="3" t="s">
        <v>11</v>
      </c>
      <c r="D11" s="4"/>
      <c r="E11" s="4"/>
      <c r="F11" s="4"/>
      <c r="G11" s="4">
        <f>ZDROJ!H12</f>
        <v>45.48</v>
      </c>
      <c r="H11" s="4">
        <f>ZDROJ!I12</f>
        <v>31.07</v>
      </c>
      <c r="I11" s="4">
        <f>ZDROJ!J12</f>
        <v>34.79</v>
      </c>
      <c r="J11" s="4">
        <f>ZDROJ!K12</f>
        <v>25.18</v>
      </c>
      <c r="K11" s="4">
        <f>ZDROJ!L12</f>
        <v>36.76</v>
      </c>
      <c r="L11" s="4">
        <f>ZDROJ!M12</f>
        <v>40.1</v>
      </c>
      <c r="M11" s="4">
        <f>ZDROJ!N12</f>
        <v>33.979999999999997</v>
      </c>
      <c r="N11" s="4">
        <f>ZDROJ!O12</f>
        <v>31.83</v>
      </c>
      <c r="O11" s="4">
        <f>ZDROJ!P12</f>
        <v>50.44</v>
      </c>
      <c r="P11" s="4">
        <f>ZDROJ!Q12</f>
        <v>42.25</v>
      </c>
      <c r="Q11" s="4">
        <f>ZDROJ!R12</f>
        <v>46.93</v>
      </c>
      <c r="R11" s="4">
        <f>ZDROJ!S12</f>
        <v>83.64</v>
      </c>
      <c r="S11" s="4">
        <f>ZDROJ!T12</f>
        <v>141.85</v>
      </c>
      <c r="T11" s="4">
        <f>ZDROJ!U12</f>
        <v>113.64</v>
      </c>
      <c r="U11" s="4">
        <f>ZDROJ!V12</f>
        <v>60.4</v>
      </c>
      <c r="V11" s="4">
        <f>ZDROJ!W12</f>
        <v>46.13</v>
      </c>
      <c r="W11" s="4">
        <f>ZDROJ!X12</f>
        <v>38.409999999999997</v>
      </c>
      <c r="X11" s="4">
        <f>ZDROJ!Y12</f>
        <v>54.25</v>
      </c>
      <c r="Y11" s="4">
        <f>ZDROJ!Z12</f>
        <v>68.430000000000007</v>
      </c>
      <c r="Z11" s="4">
        <f>ZDROJ!AD11</f>
        <v>75</v>
      </c>
      <c r="AA11" s="4">
        <v>70</v>
      </c>
      <c r="AB11" s="4">
        <v>70</v>
      </c>
      <c r="AC11" s="448">
        <v>70</v>
      </c>
      <c r="AD11" s="4">
        <v>70</v>
      </c>
      <c r="AE11" s="448">
        <v>70</v>
      </c>
      <c r="AF11" s="12">
        <f t="shared" si="12"/>
        <v>10.984660349342491</v>
      </c>
      <c r="AG11" s="13">
        <f t="shared" si="4"/>
        <v>0</v>
      </c>
      <c r="AH11" s="31">
        <f t="shared" si="5"/>
        <v>83.264686754823316</v>
      </c>
      <c r="AI11" s="31">
        <f t="shared" si="6"/>
        <v>141.23926060921636</v>
      </c>
      <c r="AJ11" s="31">
        <f t="shared" si="7"/>
        <v>126.13824884792628</v>
      </c>
      <c r="AK11" s="31">
        <f t="shared" si="10"/>
        <v>109.60105217010083</v>
      </c>
      <c r="AL11" s="31">
        <f t="shared" si="11"/>
        <v>93.333333333333329</v>
      </c>
      <c r="AM11" s="31">
        <f t="shared" si="11"/>
        <v>100</v>
      </c>
      <c r="AN11" s="31">
        <f t="shared" si="8"/>
        <v>100</v>
      </c>
      <c r="AO11" s="31">
        <f t="shared" si="2"/>
        <v>100</v>
      </c>
      <c r="AP11" s="31">
        <f t="shared" si="2"/>
        <v>100</v>
      </c>
      <c r="AQ11" s="463">
        <f t="shared" si="9"/>
        <v>100</v>
      </c>
      <c r="AR11" s="463">
        <f t="shared" si="3"/>
        <v>1.1471576793803848</v>
      </c>
      <c r="AW11" s="4"/>
    </row>
    <row r="12" spans="1:49" s="5" customFormat="1" ht="15.5" x14ac:dyDescent="0.35">
      <c r="A12" s="3">
        <v>10</v>
      </c>
      <c r="B12" s="147">
        <v>1511</v>
      </c>
      <c r="C12" s="3" t="s">
        <v>12</v>
      </c>
      <c r="D12" s="4"/>
      <c r="E12" s="4"/>
      <c r="F12" s="4"/>
      <c r="G12" s="4">
        <f>ZDROJ!H13</f>
        <v>591.88</v>
      </c>
      <c r="H12" s="4">
        <f>ZDROJ!I13</f>
        <v>596.66</v>
      </c>
      <c r="I12" s="4">
        <f>ZDROJ!J13</f>
        <v>652.72</v>
      </c>
      <c r="J12" s="4">
        <f>ZDROJ!K13</f>
        <v>782.93</v>
      </c>
      <c r="K12" s="4">
        <f>ZDROJ!L13</f>
        <v>874.94</v>
      </c>
      <c r="L12" s="4">
        <f>ZDROJ!M13</f>
        <v>813.45</v>
      </c>
      <c r="M12" s="4">
        <f>ZDROJ!N13</f>
        <v>818.96</v>
      </c>
      <c r="N12" s="4">
        <f>ZDROJ!O13</f>
        <v>864.84</v>
      </c>
      <c r="O12" s="4">
        <f>ZDROJ!P13</f>
        <v>900.9</v>
      </c>
      <c r="P12" s="4">
        <f>ZDROJ!Q13</f>
        <v>870.68</v>
      </c>
      <c r="Q12" s="4">
        <f>ZDROJ!R13</f>
        <v>906.12</v>
      </c>
      <c r="R12" s="4">
        <f>ZDROJ!S13</f>
        <v>922.01</v>
      </c>
      <c r="S12" s="4">
        <f>ZDROJ!T13</f>
        <v>931.06</v>
      </c>
      <c r="T12" s="4">
        <f>ZDROJ!U13</f>
        <v>850.77</v>
      </c>
      <c r="U12" s="4">
        <f>ZDROJ!V13</f>
        <v>895.7</v>
      </c>
      <c r="V12" s="4">
        <f>ZDROJ!W13</f>
        <v>1039.92</v>
      </c>
      <c r="W12" s="4">
        <f>ZDROJ!X13</f>
        <v>998.5</v>
      </c>
      <c r="X12" s="4">
        <f>ZDROJ!Y13</f>
        <v>1654.37</v>
      </c>
      <c r="Y12" s="4">
        <f>ZDROJ!Z13</f>
        <v>1681.79</v>
      </c>
      <c r="Z12" s="4">
        <f>ZDROJ!AD12</f>
        <v>1700</v>
      </c>
      <c r="AA12" s="4">
        <v>1700</v>
      </c>
      <c r="AB12" s="448">
        <v>1700</v>
      </c>
      <c r="AC12" s="448">
        <v>1900</v>
      </c>
      <c r="AD12" s="448">
        <v>1900</v>
      </c>
      <c r="AE12" s="448">
        <v>1900</v>
      </c>
      <c r="AF12" s="12">
        <f t="shared" si="12"/>
        <v>7.5456366298321456</v>
      </c>
      <c r="AG12" s="13">
        <f t="shared" si="4"/>
        <v>2.941176470588232</v>
      </c>
      <c r="AH12" s="31">
        <f t="shared" si="5"/>
        <v>96.01700130779291</v>
      </c>
      <c r="AI12" s="31">
        <f>X12/W12*100</f>
        <v>165.68552829243865</v>
      </c>
      <c r="AJ12" s="31">
        <f t="shared" si="7"/>
        <v>101.65742850752855</v>
      </c>
      <c r="AK12" s="31">
        <f t="shared" si="10"/>
        <v>101.08277490055239</v>
      </c>
      <c r="AL12" s="31">
        <f t="shared" si="11"/>
        <v>100</v>
      </c>
      <c r="AM12" s="31">
        <f t="shared" si="11"/>
        <v>100</v>
      </c>
      <c r="AN12" s="31">
        <f t="shared" si="8"/>
        <v>111.76470588235294</v>
      </c>
      <c r="AO12" s="31">
        <f t="shared" si="2"/>
        <v>100</v>
      </c>
      <c r="AP12" s="31">
        <f t="shared" si="2"/>
        <v>100</v>
      </c>
      <c r="AQ12" s="463">
        <f t="shared" si="9"/>
        <v>102.94117647058823</v>
      </c>
      <c r="AR12" s="463">
        <f t="shared" si="3"/>
        <v>0.54138745027619706</v>
      </c>
      <c r="AW12" s="4"/>
    </row>
    <row r="13" spans="1:49" s="66" customFormat="1" x14ac:dyDescent="0.35">
      <c r="A13" s="60">
        <v>11</v>
      </c>
      <c r="B13" s="146">
        <v>2</v>
      </c>
      <c r="C13" s="60" t="s">
        <v>13</v>
      </c>
      <c r="D13" s="61">
        <f>ZDROJ!E14</f>
        <v>1334.83</v>
      </c>
      <c r="E13" s="61">
        <f>ZDROJ!F14</f>
        <v>1006.89</v>
      </c>
      <c r="F13" s="61">
        <f>ZDROJ!G14</f>
        <v>801.24</v>
      </c>
      <c r="G13" s="61">
        <f>ZDROJ!H14</f>
        <v>996.22</v>
      </c>
      <c r="H13" s="61">
        <f>ZDROJ!I14</f>
        <v>765.24</v>
      </c>
      <c r="I13" s="61">
        <f>ZDROJ!J14</f>
        <v>532.5</v>
      </c>
      <c r="J13" s="61">
        <f>ZDROJ!K14</f>
        <v>654.13</v>
      </c>
      <c r="K13" s="61">
        <f>ZDROJ!L14</f>
        <v>674.97</v>
      </c>
      <c r="L13" s="61">
        <f>ZDROJ!M14</f>
        <v>765.24</v>
      </c>
      <c r="M13" s="61">
        <f>ZDROJ!N14</f>
        <v>784.02</v>
      </c>
      <c r="N13" s="61">
        <f>ZDROJ!O14</f>
        <v>959.06</v>
      </c>
      <c r="O13" s="61">
        <f>ZDROJ!P14</f>
        <v>1307.1500000000001</v>
      </c>
      <c r="P13" s="61">
        <f>ZDROJ!Q14</f>
        <v>741.9</v>
      </c>
      <c r="Q13" s="61">
        <f>ZDROJ!R14</f>
        <v>809.3</v>
      </c>
      <c r="R13" s="61">
        <f>ZDROJ!S14</f>
        <v>1633.83</v>
      </c>
      <c r="S13" s="61">
        <f>ZDROJ!T14</f>
        <v>3018.11</v>
      </c>
      <c r="T13" s="61">
        <f>ZDROJ!U14</f>
        <v>2021.17</v>
      </c>
      <c r="U13" s="61">
        <f>ZDROJ!V14</f>
        <v>2431.3000000000002</v>
      </c>
      <c r="V13" s="61">
        <f>ZDROJ!W14</f>
        <v>3590.13</v>
      </c>
      <c r="W13" s="61">
        <f>ZDROJ!X14</f>
        <v>4801.6499999999996</v>
      </c>
      <c r="X13" s="61">
        <f>ZDROJ!Y14</f>
        <v>5781.58</v>
      </c>
      <c r="Y13" s="61">
        <f>ZDROJ!Z14</f>
        <v>4278.45</v>
      </c>
      <c r="Z13" s="61">
        <f>ZDROJ!AD13</f>
        <v>4097</v>
      </c>
      <c r="AA13" s="61">
        <f>SUM(AA14:AA17)</f>
        <v>5000</v>
      </c>
      <c r="AB13" s="61">
        <f t="shared" ref="AB13:AE13" si="13">SUM(AB14:AB17)</f>
        <v>5000</v>
      </c>
      <c r="AC13" s="61">
        <f t="shared" si="13"/>
        <v>5000</v>
      </c>
      <c r="AD13" s="61">
        <f t="shared" si="13"/>
        <v>5000</v>
      </c>
      <c r="AE13" s="61">
        <f t="shared" si="13"/>
        <v>5000</v>
      </c>
      <c r="AF13" s="62">
        <f>(((E13/D13)+(F13/E13)+(G13/F13)+(H13/G13)+(I13/H13)+(J13/I13)+(L13/J13)+(M13/L13)+(N13/M13)+(O13/N13)+(P13/O13)+(Q13/P13)+(R13/Q13)+(S13/R13)+(T13/S13)+(U13/T13)+(V13/U13)+(W13/V13)+(X13/W13)+(Y13/X13)+(K13/J13))/21*100)-100</f>
        <v>11.683766889596157</v>
      </c>
      <c r="AG13" s="182">
        <f t="shared" si="4"/>
        <v>0</v>
      </c>
      <c r="AH13" s="64">
        <f t="shared" si="5"/>
        <v>133.74585321422902</v>
      </c>
      <c r="AI13" s="64">
        <f t="shared" si="6"/>
        <v>120.40819301698376</v>
      </c>
      <c r="AJ13" s="64">
        <f t="shared" si="7"/>
        <v>74.001397541848419</v>
      </c>
      <c r="AK13" s="64">
        <f t="shared" si="10"/>
        <v>95.758978134604817</v>
      </c>
      <c r="AL13" s="64">
        <f t="shared" ref="AL13:AL14" si="14">AA13/Z13*100</f>
        <v>122.040517451794</v>
      </c>
      <c r="AM13" s="64">
        <f t="shared" ref="AM13:AM14" si="15">AB13/AA13*100</f>
        <v>100</v>
      </c>
      <c r="AN13" s="64">
        <f t="shared" si="8"/>
        <v>100</v>
      </c>
      <c r="AO13" s="64">
        <f t="shared" si="2"/>
        <v>100</v>
      </c>
      <c r="AP13" s="64">
        <f t="shared" si="2"/>
        <v>100</v>
      </c>
      <c r="AR13" s="65"/>
    </row>
    <row r="14" spans="1:49" s="5" customFormat="1" x14ac:dyDescent="0.35">
      <c r="A14" s="3">
        <v>12</v>
      </c>
      <c r="B14" s="147">
        <v>21</v>
      </c>
      <c r="C14" s="3" t="s">
        <v>14</v>
      </c>
      <c r="D14" s="4"/>
      <c r="E14" s="4"/>
      <c r="F14" s="4"/>
      <c r="G14" s="4">
        <f>ZDROJ!H15</f>
        <v>590.37</v>
      </c>
      <c r="H14" s="4">
        <f>ZDROJ!I15</f>
        <v>545.94000000000005</v>
      </c>
      <c r="I14" s="4">
        <f>ZDROJ!J15</f>
        <v>524.97</v>
      </c>
      <c r="J14" s="4">
        <f>ZDROJ!K15</f>
        <v>569.66</v>
      </c>
      <c r="K14" s="4">
        <f>ZDROJ!L15</f>
        <v>586.79</v>
      </c>
      <c r="L14" s="4">
        <f>ZDROJ!M15</f>
        <v>685.29</v>
      </c>
      <c r="M14" s="4">
        <f>ZDROJ!N15</f>
        <v>602.49</v>
      </c>
      <c r="N14" s="4">
        <f>ZDROJ!O15</f>
        <v>863.72</v>
      </c>
      <c r="O14" s="4">
        <f>ZDROJ!P15</f>
        <v>559.09</v>
      </c>
      <c r="P14" s="4">
        <f>ZDROJ!Q15</f>
        <v>590.6</v>
      </c>
      <c r="Q14" s="4">
        <f>ZDROJ!R15</f>
        <v>528.21</v>
      </c>
      <c r="R14" s="4">
        <f>ZDROJ!S15</f>
        <v>1459.33</v>
      </c>
      <c r="S14" s="4">
        <f>ZDROJ!T15</f>
        <v>1825.35</v>
      </c>
      <c r="T14" s="4">
        <f>ZDROJ!U15</f>
        <v>1596.01</v>
      </c>
      <c r="U14" s="4">
        <f>ZDROJ!V15</f>
        <v>1470.2</v>
      </c>
      <c r="V14" s="4">
        <f>ZDROJ!W15</f>
        <v>2537.63</v>
      </c>
      <c r="W14" s="4">
        <f>ZDROJ!X15</f>
        <v>2578.6799999999998</v>
      </c>
      <c r="X14" s="4">
        <f>ZDROJ!Y15</f>
        <v>3116.53</v>
      </c>
      <c r="Y14" s="4">
        <f>ZDROJ!Z15</f>
        <v>3024.59</v>
      </c>
      <c r="Z14" s="4">
        <f>ZDROJ!AD14</f>
        <v>3349</v>
      </c>
      <c r="AA14" s="4">
        <v>3500</v>
      </c>
      <c r="AB14" s="4">
        <v>3500</v>
      </c>
      <c r="AC14" s="4">
        <v>3500</v>
      </c>
      <c r="AD14" s="4">
        <v>3500</v>
      </c>
      <c r="AE14" s="4">
        <v>3500</v>
      </c>
      <c r="AF14" s="12">
        <v>0</v>
      </c>
      <c r="AG14" s="13">
        <f t="shared" si="4"/>
        <v>0</v>
      </c>
      <c r="AH14" s="31">
        <f t="shared" si="5"/>
        <v>101.61765111541084</v>
      </c>
      <c r="AI14" s="31">
        <f t="shared" si="6"/>
        <v>120.85757053996619</v>
      </c>
      <c r="AJ14" s="31">
        <f t="shared" si="7"/>
        <v>97.049924114319452</v>
      </c>
      <c r="AK14" s="31">
        <f t="shared" si="10"/>
        <v>110.72575125884829</v>
      </c>
      <c r="AL14" s="31">
        <f t="shared" si="14"/>
        <v>104.50880859958195</v>
      </c>
      <c r="AM14" s="31">
        <f t="shared" si="15"/>
        <v>100</v>
      </c>
      <c r="AN14" s="31">
        <f t="shared" si="8"/>
        <v>100</v>
      </c>
      <c r="AO14" s="31">
        <f t="shared" si="2"/>
        <v>100</v>
      </c>
      <c r="AP14" s="31">
        <f t="shared" si="2"/>
        <v>100</v>
      </c>
      <c r="AR14" s="118"/>
    </row>
    <row r="15" spans="1:49" s="5" customFormat="1" x14ac:dyDescent="0.35">
      <c r="A15" s="3">
        <v>13</v>
      </c>
      <c r="B15" s="147">
        <v>22</v>
      </c>
      <c r="C15" s="3" t="s">
        <v>15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>
        <f>ZDROJ!O48</f>
        <v>28.538</v>
      </c>
      <c r="O15" s="4">
        <f>ZDROJ!P48</f>
        <v>58.927</v>
      </c>
      <c r="P15" s="4">
        <f>ZDROJ!Q48</f>
        <v>0</v>
      </c>
      <c r="Q15" s="4">
        <f>ZDROJ!R48</f>
        <v>0</v>
      </c>
      <c r="R15" s="4">
        <f>ZDROJ!S48</f>
        <v>0</v>
      </c>
      <c r="S15" s="4">
        <f>ZDROJ!T48</f>
        <v>0</v>
      </c>
      <c r="T15" s="4">
        <f>ZDROJ!U48</f>
        <v>15</v>
      </c>
      <c r="U15" s="4">
        <f>ZDROJ!V48</f>
        <v>3.48</v>
      </c>
      <c r="V15" s="4">
        <f>ZDROJ!W48</f>
        <v>1.1439999999999999</v>
      </c>
      <c r="W15" s="4">
        <f>ZDROJ!X48</f>
        <v>5</v>
      </c>
      <c r="X15" s="4">
        <f>ZDROJ!Y48</f>
        <v>0</v>
      </c>
      <c r="Y15" s="4">
        <f>ZDROJ!Z48</f>
        <v>0</v>
      </c>
      <c r="Z15" s="4">
        <f>ZDROJ!AD15</f>
        <v>0</v>
      </c>
      <c r="AA15" s="4"/>
      <c r="AB15" s="4"/>
      <c r="AC15" s="4"/>
      <c r="AD15" s="4"/>
      <c r="AE15" s="4"/>
      <c r="AF15" s="12"/>
      <c r="AG15" s="13">
        <f t="shared" si="4"/>
        <v>0</v>
      </c>
      <c r="AH15" s="31">
        <f t="shared" ref="AH15:AH22" si="16">W15/V15*100</f>
        <v>437.06293706293707</v>
      </c>
      <c r="AI15" s="31">
        <f t="shared" ref="AI15:AI22" si="17">X15/W15*100</f>
        <v>0</v>
      </c>
      <c r="AJ15" s="31" t="e">
        <f t="shared" ref="AJ15:AJ22" si="18">Y15/X15*100</f>
        <v>#DIV/0!</v>
      </c>
      <c r="AK15" s="31" t="e">
        <f t="shared" ref="AK15:AK22" si="19">Z15/Y15*100</f>
        <v>#DIV/0!</v>
      </c>
      <c r="AL15" s="31" t="e">
        <f t="shared" ref="AL15:AL22" si="20">AA15/Z15*100</f>
        <v>#DIV/0!</v>
      </c>
      <c r="AM15" s="31" t="e">
        <f t="shared" ref="AM15:AM22" si="21">AB15/AA15*100</f>
        <v>#DIV/0!</v>
      </c>
      <c r="AN15" s="31" t="e">
        <f t="shared" ref="AN15:AN22" si="22">AC15/AB15*100</f>
        <v>#DIV/0!</v>
      </c>
      <c r="AO15" s="31" t="e">
        <f t="shared" si="2"/>
        <v>#DIV/0!</v>
      </c>
      <c r="AP15" s="31" t="e">
        <f t="shared" si="2"/>
        <v>#DIV/0!</v>
      </c>
      <c r="AR15" s="118"/>
    </row>
    <row r="16" spans="1:49" s="5" customFormat="1" ht="25" x14ac:dyDescent="0.35">
      <c r="A16" s="3">
        <v>14</v>
      </c>
      <c r="B16" s="147">
        <v>23</v>
      </c>
      <c r="C16" s="3" t="s">
        <v>16</v>
      </c>
      <c r="D16" s="4"/>
      <c r="E16" s="4"/>
      <c r="F16" s="4"/>
      <c r="G16" s="4">
        <f>ZDROJ!H16</f>
        <v>405.85</v>
      </c>
      <c r="H16" s="4">
        <f>ZDROJ!I16</f>
        <v>219.3</v>
      </c>
      <c r="I16" s="4">
        <f>ZDROJ!J16</f>
        <v>7.53</v>
      </c>
      <c r="J16" s="4">
        <f>ZDROJ!K16</f>
        <v>84.47</v>
      </c>
      <c r="K16" s="4">
        <f>ZDROJ!L16</f>
        <v>58.18</v>
      </c>
      <c r="L16" s="4">
        <f>ZDROJ!M16</f>
        <v>78.45</v>
      </c>
      <c r="M16" s="4">
        <f>ZDROJ!N16</f>
        <v>181.03</v>
      </c>
      <c r="N16" s="4">
        <f>ZDROJ!O16</f>
        <v>66.81</v>
      </c>
      <c r="O16" s="4">
        <f>ZDROJ!P16</f>
        <v>689.13</v>
      </c>
      <c r="P16" s="4">
        <f>ZDROJ!Q16</f>
        <v>151.30000000000001</v>
      </c>
      <c r="Q16" s="4">
        <f>ZDROJ!R16</f>
        <v>131.09</v>
      </c>
      <c r="R16" s="4">
        <f>ZDROJ!S16</f>
        <v>174.51</v>
      </c>
      <c r="S16" s="4">
        <f>ZDROJ!T16</f>
        <v>1192.76</v>
      </c>
      <c r="T16" s="4">
        <f>ZDROJ!U16</f>
        <v>410.17</v>
      </c>
      <c r="U16" s="4">
        <f>ZDROJ!V16</f>
        <v>957.6</v>
      </c>
      <c r="V16" s="4">
        <f>ZDROJ!W16</f>
        <v>1051.3599999999999</v>
      </c>
      <c r="W16" s="4">
        <f>ZDROJ!X16</f>
        <v>2117.9699999999998</v>
      </c>
      <c r="X16" s="4">
        <f>ZDROJ!Y16</f>
        <v>2665.05</v>
      </c>
      <c r="Y16" s="4">
        <f>ZDROJ!Z16</f>
        <v>1253.8599999999999</v>
      </c>
      <c r="Z16" s="4">
        <f>ZDROJ!AD16</f>
        <v>748</v>
      </c>
      <c r="AA16" s="4">
        <v>1500</v>
      </c>
      <c r="AB16" s="4">
        <v>1500</v>
      </c>
      <c r="AC16" s="4">
        <v>1500</v>
      </c>
      <c r="AD16" s="4">
        <v>1500</v>
      </c>
      <c r="AE16" s="4">
        <v>1500</v>
      </c>
      <c r="AF16" s="142"/>
      <c r="AG16" s="31">
        <f t="shared" si="4"/>
        <v>0</v>
      </c>
      <c r="AH16" s="31">
        <f t="shared" si="16"/>
        <v>201.45050220666567</v>
      </c>
      <c r="AI16" s="31">
        <f t="shared" si="17"/>
        <v>125.83039419821813</v>
      </c>
      <c r="AJ16" s="31">
        <f t="shared" si="18"/>
        <v>47.048273015515655</v>
      </c>
      <c r="AK16" s="31">
        <f t="shared" si="19"/>
        <v>59.655782942274257</v>
      </c>
      <c r="AL16" s="31">
        <f t="shared" si="20"/>
        <v>200.53475935828877</v>
      </c>
      <c r="AM16" s="31">
        <f t="shared" si="21"/>
        <v>100</v>
      </c>
      <c r="AN16" s="31">
        <f t="shared" si="22"/>
        <v>100</v>
      </c>
      <c r="AO16" s="31">
        <f t="shared" si="2"/>
        <v>100</v>
      </c>
      <c r="AP16" s="31">
        <f t="shared" si="2"/>
        <v>100</v>
      </c>
      <c r="AR16" s="118"/>
    </row>
    <row r="17" spans="1:44" s="5" customFormat="1" x14ac:dyDescent="0.35">
      <c r="A17" s="3">
        <v>15</v>
      </c>
      <c r="B17" s="147">
        <v>24</v>
      </c>
      <c r="C17" s="3" t="s">
        <v>17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>
        <f>ZDROJ!O49</f>
        <v>0</v>
      </c>
      <c r="O17" s="4">
        <f>ZDROJ!P49</f>
        <v>0</v>
      </c>
      <c r="P17" s="4">
        <f>ZDROJ!Q49</f>
        <v>0</v>
      </c>
      <c r="Q17" s="4">
        <f>ZDROJ!R49</f>
        <v>150</v>
      </c>
      <c r="R17" s="4">
        <f>ZDROJ!S49</f>
        <v>0</v>
      </c>
      <c r="S17" s="4">
        <f>ZDROJ!T49</f>
        <v>0</v>
      </c>
      <c r="T17" s="4">
        <f>ZDROJ!U49</f>
        <v>0</v>
      </c>
      <c r="U17" s="4">
        <f>ZDROJ!V49</f>
        <v>0</v>
      </c>
      <c r="V17" s="4">
        <f>ZDROJ!W49</f>
        <v>0</v>
      </c>
      <c r="W17" s="4">
        <f>ZDROJ!X49</f>
        <v>100</v>
      </c>
      <c r="X17" s="4">
        <f>ZDROJ!Y49</f>
        <v>0</v>
      </c>
      <c r="Y17" s="4">
        <f>ZDROJ!Z49</f>
        <v>0</v>
      </c>
      <c r="Z17" s="4">
        <f>ZDROJ!AD17</f>
        <v>0</v>
      </c>
      <c r="AA17" s="4"/>
      <c r="AB17" s="4"/>
      <c r="AC17" s="4"/>
      <c r="AD17" s="4"/>
      <c r="AE17" s="4"/>
      <c r="AF17" s="142"/>
      <c r="AG17" s="31">
        <f t="shared" si="4"/>
        <v>0</v>
      </c>
      <c r="AH17" s="31" t="e">
        <f t="shared" si="16"/>
        <v>#DIV/0!</v>
      </c>
      <c r="AI17" s="31">
        <f t="shared" si="17"/>
        <v>0</v>
      </c>
      <c r="AJ17" s="31" t="e">
        <f t="shared" si="18"/>
        <v>#DIV/0!</v>
      </c>
      <c r="AK17" s="31" t="e">
        <f t="shared" si="19"/>
        <v>#DIV/0!</v>
      </c>
      <c r="AL17" s="31" t="e">
        <f t="shared" si="20"/>
        <v>#DIV/0!</v>
      </c>
      <c r="AM17" s="31" t="e">
        <f t="shared" si="21"/>
        <v>#DIV/0!</v>
      </c>
      <c r="AN17" s="31" t="e">
        <f t="shared" si="22"/>
        <v>#DIV/0!</v>
      </c>
      <c r="AO17" s="31" t="e">
        <f t="shared" si="2"/>
        <v>#DIV/0!</v>
      </c>
      <c r="AP17" s="31" t="e">
        <f t="shared" si="2"/>
        <v>#DIV/0!</v>
      </c>
      <c r="AR17" s="118"/>
    </row>
    <row r="18" spans="1:44" s="66" customFormat="1" x14ac:dyDescent="0.35">
      <c r="A18" s="60">
        <v>16</v>
      </c>
      <c r="B18" s="146">
        <v>3</v>
      </c>
      <c r="C18" s="60" t="s">
        <v>18</v>
      </c>
      <c r="D18" s="61">
        <f>ZDROJ!E17</f>
        <v>490.73</v>
      </c>
      <c r="E18" s="61">
        <f>ZDROJ!F17</f>
        <v>5.28</v>
      </c>
      <c r="F18" s="61">
        <f>ZDROJ!G17</f>
        <v>3065.72</v>
      </c>
      <c r="G18" s="61">
        <f>ZDROJ!H17</f>
        <v>65.959999999999994</v>
      </c>
      <c r="H18" s="61">
        <f>ZDROJ!I17</f>
        <v>6</v>
      </c>
      <c r="I18" s="61">
        <f>ZDROJ!J17</f>
        <v>5903</v>
      </c>
      <c r="J18" s="61">
        <f>ZDROJ!K17</f>
        <v>317.89999999999998</v>
      </c>
      <c r="K18" s="61">
        <f>ZDROJ!L17</f>
        <v>33.5</v>
      </c>
      <c r="L18" s="61">
        <f>ZDROJ!M17</f>
        <v>172.7</v>
      </c>
      <c r="M18" s="61">
        <f>ZDROJ!N17</f>
        <v>4.76</v>
      </c>
      <c r="N18" s="61">
        <f>ZDROJ!O17</f>
        <v>900.92</v>
      </c>
      <c r="O18" s="61">
        <f>ZDROJ!P17</f>
        <v>1925.22</v>
      </c>
      <c r="P18" s="61">
        <f>ZDROJ!Q17</f>
        <v>255.6</v>
      </c>
      <c r="Q18" s="61">
        <f>ZDROJ!R17</f>
        <v>463.6</v>
      </c>
      <c r="R18" s="61">
        <f>ZDROJ!S17</f>
        <v>329.93</v>
      </c>
      <c r="S18" s="61">
        <f>ZDROJ!T17</f>
        <v>421.04</v>
      </c>
      <c r="T18" s="61">
        <f>ZDROJ!U17</f>
        <v>127.5</v>
      </c>
      <c r="U18" s="61">
        <f>ZDROJ!V17</f>
        <v>773</v>
      </c>
      <c r="V18" s="61">
        <f>ZDROJ!W17</f>
        <v>165</v>
      </c>
      <c r="W18" s="61">
        <f>ZDROJ!X17</f>
        <v>175</v>
      </c>
      <c r="X18" s="61">
        <f>ZDROJ!Y17</f>
        <v>568.52</v>
      </c>
      <c r="Y18" s="61">
        <f>ZDROJ!Z17</f>
        <v>586.53</v>
      </c>
      <c r="Z18" s="61">
        <f>ZDROJ!AD18</f>
        <v>260</v>
      </c>
      <c r="AA18" s="365">
        <v>0</v>
      </c>
      <c r="AB18" s="365">
        <v>0</v>
      </c>
      <c r="AC18" s="365">
        <v>0</v>
      </c>
      <c r="AD18" s="365">
        <v>0</v>
      </c>
      <c r="AE18" s="365">
        <v>0</v>
      </c>
      <c r="AF18" s="142"/>
      <c r="AG18" s="31">
        <f t="shared" si="4"/>
        <v>0</v>
      </c>
      <c r="AH18" s="31">
        <f t="shared" si="16"/>
        <v>106.06060606060606</v>
      </c>
      <c r="AI18" s="31">
        <f t="shared" si="17"/>
        <v>324.86857142857144</v>
      </c>
      <c r="AJ18" s="31">
        <f t="shared" si="18"/>
        <v>103.16787448110884</v>
      </c>
      <c r="AK18" s="31">
        <f t="shared" si="19"/>
        <v>44.328508345694168</v>
      </c>
      <c r="AL18" s="31">
        <f t="shared" si="20"/>
        <v>0</v>
      </c>
      <c r="AM18" s="31" t="e">
        <f t="shared" si="21"/>
        <v>#DIV/0!</v>
      </c>
      <c r="AN18" s="31" t="e">
        <f t="shared" si="22"/>
        <v>#DIV/0!</v>
      </c>
      <c r="AO18" s="31" t="e">
        <f t="shared" si="2"/>
        <v>#DIV/0!</v>
      </c>
      <c r="AP18" s="31" t="e">
        <f t="shared" si="2"/>
        <v>#DIV/0!</v>
      </c>
      <c r="AR18" s="65"/>
    </row>
    <row r="19" spans="1:44" s="66" customFormat="1" x14ac:dyDescent="0.35">
      <c r="A19" s="60">
        <v>17</v>
      </c>
      <c r="B19" s="146">
        <v>4</v>
      </c>
      <c r="C19" s="60" t="s">
        <v>19</v>
      </c>
      <c r="D19" s="61">
        <f>ZDROJ!E18</f>
        <v>8543.73</v>
      </c>
      <c r="E19" s="61">
        <f>ZDROJ!F18</f>
        <v>3248.94</v>
      </c>
      <c r="F19" s="61">
        <f>ZDROJ!G18</f>
        <v>1273.23</v>
      </c>
      <c r="G19" s="61">
        <f>ZDROJ!H18</f>
        <v>3408.03</v>
      </c>
      <c r="H19" s="61">
        <f>ZDROJ!I18</f>
        <v>1424.88</v>
      </c>
      <c r="I19" s="61">
        <f>ZDROJ!J18</f>
        <v>5461.86</v>
      </c>
      <c r="J19" s="61">
        <f>ZDROJ!K18</f>
        <v>2658.46</v>
      </c>
      <c r="K19" s="61">
        <f>ZDROJ!L18</f>
        <v>3023.34</v>
      </c>
      <c r="L19" s="61">
        <f>ZDROJ!M18</f>
        <v>3460.87</v>
      </c>
      <c r="M19" s="61">
        <f>ZDROJ!N18</f>
        <v>2002.02</v>
      </c>
      <c r="N19" s="61">
        <f>ZDROJ!O18</f>
        <v>13984.12</v>
      </c>
      <c r="O19" s="61">
        <f>ZDROJ!P18</f>
        <v>27076.95</v>
      </c>
      <c r="P19" s="61">
        <f>ZDROJ!Q18</f>
        <v>1015.97</v>
      </c>
      <c r="Q19" s="61">
        <f>ZDROJ!R18</f>
        <v>7869.26</v>
      </c>
      <c r="R19" s="61">
        <f>ZDROJ!S18</f>
        <v>3903.61</v>
      </c>
      <c r="S19" s="61">
        <f>ZDROJ!T18</f>
        <v>25660.68</v>
      </c>
      <c r="T19" s="61">
        <f>ZDROJ!U18</f>
        <v>79199.759999999995</v>
      </c>
      <c r="U19" s="61">
        <f>ZDROJ!V18</f>
        <v>15932.3</v>
      </c>
      <c r="V19" s="61">
        <f>ZDROJ!W18</f>
        <v>3392.99</v>
      </c>
      <c r="W19" s="61">
        <f>ZDROJ!X18</f>
        <v>12759.36</v>
      </c>
      <c r="X19" s="61">
        <f>ZDROJ!Y18</f>
        <v>8696.19</v>
      </c>
      <c r="Y19" s="61">
        <f>ZDROJ!Z18</f>
        <v>18051.849999999999</v>
      </c>
      <c r="Z19" s="61">
        <f>ZDROJ!AD19</f>
        <v>9096</v>
      </c>
      <c r="AA19" s="61">
        <f>SUM(AA20:AA21)</f>
        <v>3000</v>
      </c>
      <c r="AB19" s="61">
        <f>SUM(AB20:AB21)</f>
        <v>3000</v>
      </c>
      <c r="AC19" s="61">
        <f>SUM(AC20:AC21)</f>
        <v>3000</v>
      </c>
      <c r="AD19" s="61">
        <f>SUM(AD20:AD21)</f>
        <v>3000</v>
      </c>
      <c r="AE19" s="61">
        <f>SUM(AE20:AE21)</f>
        <v>3000</v>
      </c>
      <c r="AF19" s="199">
        <f>(((H19/G19)+(I19/H19)+(J19/I19)+(L19/J19)+(M19/L19)+(N19/M19)+(O19/N19)+(P19/O19)+(Q19/P19)+(R19/Q19)+(S19/R19)+(T19/S19)+(U19/T19)+(V19/U19)+(W19/V19)+(X19/W19)+(Y19/X19)+(K19/J19))/18*100)-100</f>
        <v>130.82238255147632</v>
      </c>
      <c r="AG19" s="199">
        <f t="shared" si="4"/>
        <v>0</v>
      </c>
      <c r="AH19" s="31">
        <f t="shared" si="16"/>
        <v>376.05062201774842</v>
      </c>
      <c r="AI19" s="31">
        <f t="shared" si="17"/>
        <v>68.155377699194943</v>
      </c>
      <c r="AJ19" s="31">
        <f t="shared" si="18"/>
        <v>207.58343596448557</v>
      </c>
      <c r="AK19" s="31">
        <f t="shared" si="19"/>
        <v>50.388187360298254</v>
      </c>
      <c r="AL19" s="31">
        <f t="shared" si="20"/>
        <v>32.981530343007911</v>
      </c>
      <c r="AM19" s="31">
        <f t="shared" si="21"/>
        <v>100</v>
      </c>
      <c r="AN19" s="31">
        <f t="shared" si="22"/>
        <v>100</v>
      </c>
      <c r="AO19" s="31">
        <f t="shared" ref="AO19:AO36" si="23">AD19/AC19*100</f>
        <v>100</v>
      </c>
      <c r="AP19" s="31">
        <f t="shared" ref="AP19:AP36" si="24">AE19/AD19*100</f>
        <v>100</v>
      </c>
      <c r="AR19" s="65"/>
    </row>
    <row r="20" spans="1:44" s="5" customFormat="1" ht="25" x14ac:dyDescent="0.35">
      <c r="A20" s="3">
        <v>18</v>
      </c>
      <c r="B20" s="147">
        <v>41</v>
      </c>
      <c r="C20" s="3" t="s">
        <v>180</v>
      </c>
      <c r="D20" s="4"/>
      <c r="E20" s="4"/>
      <c r="F20" s="4"/>
      <c r="G20" s="4">
        <f>ZDROJ!H19</f>
        <v>1408.03</v>
      </c>
      <c r="H20" s="4">
        <f>ZDROJ!I19</f>
        <v>1403.88</v>
      </c>
      <c r="I20" s="4">
        <f>ZDROJ!J19</f>
        <v>4173.09</v>
      </c>
      <c r="J20" s="4">
        <f>ZDROJ!K19</f>
        <v>2441.2399999999998</v>
      </c>
      <c r="K20" s="4">
        <f>ZDROJ!L19</f>
        <v>2371.67</v>
      </c>
      <c r="L20" s="4">
        <f>ZDROJ!M19</f>
        <v>3460.87</v>
      </c>
      <c r="M20" s="4">
        <f>ZDROJ!N19</f>
        <v>1937.02</v>
      </c>
      <c r="N20" s="4">
        <f>ZDROJ!O19</f>
        <v>1684.12</v>
      </c>
      <c r="O20" s="4">
        <f>ZDROJ!P19</f>
        <v>1064.46</v>
      </c>
      <c r="P20" s="4">
        <f>ZDROJ!Q19</f>
        <v>986.05</v>
      </c>
      <c r="Q20" s="4">
        <f>ZDROJ!R19</f>
        <v>799.75</v>
      </c>
      <c r="R20" s="4">
        <f>ZDROJ!S19</f>
        <v>2017.61</v>
      </c>
      <c r="S20" s="4">
        <f>ZDROJ!T19</f>
        <v>1046.28</v>
      </c>
      <c r="T20" s="4">
        <f>ZDROJ!U19</f>
        <v>2290.5</v>
      </c>
      <c r="U20" s="4">
        <f>ZDROJ!V19</f>
        <v>1826.6</v>
      </c>
      <c r="V20" s="4">
        <f>ZDROJ!W19</f>
        <v>2015.96</v>
      </c>
      <c r="W20" s="4">
        <f>ZDROJ!X19</f>
        <v>3074.14</v>
      </c>
      <c r="X20" s="4">
        <f>ZDROJ!Y19</f>
        <v>1589.07</v>
      </c>
      <c r="Y20" s="4">
        <f>ZDROJ!Z19</f>
        <v>2510.09</v>
      </c>
      <c r="Z20" s="4">
        <f>ZDROJ!AD20</f>
        <v>3687</v>
      </c>
      <c r="AA20" s="4">
        <v>3000</v>
      </c>
      <c r="AB20" s="4">
        <v>3000</v>
      </c>
      <c r="AC20" s="4">
        <v>3000</v>
      </c>
      <c r="AD20" s="4">
        <v>3000</v>
      </c>
      <c r="AE20" s="4">
        <v>3000</v>
      </c>
      <c r="AF20" s="12">
        <f>(((H20/G20)+(I20/H20)+(J20/I20)+(L20/J20)+(M20/L20)+(N20/M20)+(O20/N20)+(P20/O20)+(Q20/P20)+(R20/Q20)+(S20/R20)+(T20/S20)+(U20/T20)+(V20/U20)+(W20/V20)+(X20/W20)+(Y20/X20)+(K20/J20))/18*100)-100</f>
        <v>19.419213596099766</v>
      </c>
      <c r="AG20" s="13">
        <f t="shared" si="4"/>
        <v>0</v>
      </c>
      <c r="AH20" s="31">
        <f t="shared" si="16"/>
        <v>152.49012877239628</v>
      </c>
      <c r="AI20" s="31">
        <f t="shared" si="17"/>
        <v>51.69152998887494</v>
      </c>
      <c r="AJ20" s="31">
        <f t="shared" si="18"/>
        <v>157.95968711258789</v>
      </c>
      <c r="AK20" s="31">
        <f t="shared" si="19"/>
        <v>146.88716340848336</v>
      </c>
      <c r="AL20" s="31">
        <f t="shared" si="20"/>
        <v>81.366965012205057</v>
      </c>
      <c r="AM20" s="31">
        <f t="shared" si="21"/>
        <v>100</v>
      </c>
      <c r="AN20" s="31">
        <f t="shared" si="22"/>
        <v>100</v>
      </c>
      <c r="AO20" s="31">
        <f t="shared" si="23"/>
        <v>100</v>
      </c>
      <c r="AP20" s="31">
        <f t="shared" si="24"/>
        <v>100</v>
      </c>
      <c r="AR20" s="118"/>
    </row>
    <row r="21" spans="1:44" s="5" customFormat="1" x14ac:dyDescent="0.35">
      <c r="A21" s="3">
        <v>20</v>
      </c>
      <c r="B21" s="147">
        <v>42</v>
      </c>
      <c r="C21" s="3" t="s">
        <v>21</v>
      </c>
      <c r="D21" s="4"/>
      <c r="E21" s="4"/>
      <c r="F21" s="4"/>
      <c r="G21" s="4">
        <f>ZDROJ!H20</f>
        <v>2000</v>
      </c>
      <c r="H21" s="4">
        <f>ZDROJ!I20</f>
        <v>21</v>
      </c>
      <c r="I21" s="4">
        <f>ZDROJ!J20</f>
        <v>1288.77</v>
      </c>
      <c r="J21" s="4">
        <f>ZDROJ!K20</f>
        <v>217.22</v>
      </c>
      <c r="K21" s="4">
        <f>ZDROJ!L20</f>
        <v>651.66999999999996</v>
      </c>
      <c r="L21" s="4">
        <f>ZDROJ!M20</f>
        <v>0</v>
      </c>
      <c r="M21" s="4">
        <f>ZDROJ!N20</f>
        <v>65</v>
      </c>
      <c r="N21" s="4">
        <f>ZDROJ!O20</f>
        <v>12300</v>
      </c>
      <c r="O21" s="4">
        <f>ZDROJ!P20</f>
        <v>26012.49</v>
      </c>
      <c r="P21" s="4">
        <f>ZDROJ!Q20</f>
        <v>29.91</v>
      </c>
      <c r="Q21" s="4">
        <f>ZDROJ!R20</f>
        <v>7069.51</v>
      </c>
      <c r="R21" s="4">
        <f>ZDROJ!S20</f>
        <v>1886</v>
      </c>
      <c r="S21" s="4">
        <f>ZDROJ!T20</f>
        <v>24614.400000000001</v>
      </c>
      <c r="T21" s="4">
        <f>ZDROJ!U20</f>
        <v>76909.259999999995</v>
      </c>
      <c r="U21" s="4">
        <f>ZDROJ!V20</f>
        <v>14105.8</v>
      </c>
      <c r="V21" s="4">
        <f>ZDROJ!W20</f>
        <v>1377.03</v>
      </c>
      <c r="W21" s="4">
        <f>ZDROJ!X20</f>
        <v>9685.2199999999993</v>
      </c>
      <c r="X21" s="4">
        <f>ZDROJ!Y20</f>
        <v>7107.12</v>
      </c>
      <c r="Y21" s="4">
        <f>ZDROJ!Z20</f>
        <v>15541.76</v>
      </c>
      <c r="Z21" s="4">
        <f>ZDROJ!AD21</f>
        <v>5410</v>
      </c>
      <c r="AA21" s="4"/>
      <c r="AB21" s="4"/>
      <c r="AC21" s="4"/>
      <c r="AD21" s="4"/>
      <c r="AE21" s="4"/>
      <c r="AF21" s="12"/>
      <c r="AG21" s="13">
        <f t="shared" si="4"/>
        <v>0</v>
      </c>
      <c r="AH21" s="31">
        <f t="shared" si="16"/>
        <v>703.3412489197766</v>
      </c>
      <c r="AI21" s="31">
        <f t="shared" si="17"/>
        <v>73.381089949428102</v>
      </c>
      <c r="AJ21" s="31">
        <f t="shared" si="18"/>
        <v>218.67873343914272</v>
      </c>
      <c r="AK21" s="31">
        <f t="shared" si="19"/>
        <v>34.809442431230444</v>
      </c>
      <c r="AL21" s="31">
        <f t="shared" si="20"/>
        <v>0</v>
      </c>
      <c r="AM21" s="31" t="e">
        <f t="shared" si="21"/>
        <v>#DIV/0!</v>
      </c>
      <c r="AN21" s="31" t="e">
        <f t="shared" si="22"/>
        <v>#DIV/0!</v>
      </c>
      <c r="AO21" s="31" t="e">
        <f t="shared" si="23"/>
        <v>#DIV/0!</v>
      </c>
      <c r="AP21" s="31" t="e">
        <f t="shared" si="24"/>
        <v>#DIV/0!</v>
      </c>
      <c r="AR21" s="118"/>
    </row>
    <row r="22" spans="1:44" s="5" customFormat="1" ht="26" x14ac:dyDescent="0.35">
      <c r="A22" s="3"/>
      <c r="B22" s="147"/>
      <c r="C22" s="6" t="s">
        <v>48</v>
      </c>
      <c r="D22" s="4"/>
      <c r="E22" s="4"/>
      <c r="F22" s="4"/>
      <c r="G22" s="4">
        <f>ZDROJ!H21</f>
        <v>440.08</v>
      </c>
      <c r="H22" s="4">
        <f>ZDROJ!I21</f>
        <v>437.2</v>
      </c>
      <c r="I22" s="4">
        <f>ZDROJ!J21</f>
        <v>437.6</v>
      </c>
      <c r="J22" s="4">
        <f>ZDROJ!K21</f>
        <v>937.3</v>
      </c>
      <c r="K22" s="4">
        <f>ZDROJ!L21</f>
        <v>935</v>
      </c>
      <c r="L22" s="4">
        <f>ZDROJ!M21</f>
        <v>962.1</v>
      </c>
      <c r="M22" s="4">
        <f>ZDROJ!N21</f>
        <v>514.29999999999995</v>
      </c>
      <c r="N22" s="4">
        <f>ZDROJ!O21</f>
        <v>522.5</v>
      </c>
      <c r="O22" s="4">
        <f>ZDROJ!P21</f>
        <v>528.1</v>
      </c>
      <c r="P22" s="4">
        <f>ZDROJ!Q21</f>
        <v>539.5</v>
      </c>
      <c r="Q22" s="4">
        <f>ZDROJ!R21</f>
        <v>575.79999999999995</v>
      </c>
      <c r="R22" s="4">
        <f>ZDROJ!S21</f>
        <v>608.1</v>
      </c>
      <c r="S22" s="4">
        <f>ZDROJ!T21</f>
        <v>696.7</v>
      </c>
      <c r="T22" s="4">
        <f>ZDROJ!U21</f>
        <v>662.2</v>
      </c>
      <c r="U22" s="4">
        <f>ZDROJ!V21</f>
        <v>740.9</v>
      </c>
      <c r="V22" s="4">
        <f>ZDROJ!W21</f>
        <v>676</v>
      </c>
      <c r="W22" s="4">
        <f>ZDROJ!X21</f>
        <v>702.1</v>
      </c>
      <c r="X22" s="4">
        <f>ZDROJ!Y21</f>
        <v>709.6</v>
      </c>
      <c r="Y22" s="4">
        <f>ZDROJ!Z21</f>
        <v>673.2</v>
      </c>
      <c r="Z22" s="4">
        <f>ZDROJ!AD22</f>
        <v>644</v>
      </c>
      <c r="AA22" s="4">
        <v>600</v>
      </c>
      <c r="AB22" s="4">
        <v>600</v>
      </c>
      <c r="AC22" s="4">
        <v>600</v>
      </c>
      <c r="AD22" s="4">
        <v>600</v>
      </c>
      <c r="AE22" s="4">
        <v>600</v>
      </c>
      <c r="AF22" s="12"/>
      <c r="AG22" s="13">
        <f t="shared" si="4"/>
        <v>0</v>
      </c>
      <c r="AH22" s="31">
        <f t="shared" si="16"/>
        <v>103.86094674556215</v>
      </c>
      <c r="AI22" s="31">
        <f t="shared" si="17"/>
        <v>101.06822389972938</v>
      </c>
      <c r="AJ22" s="31">
        <f t="shared" si="18"/>
        <v>94.870349492671934</v>
      </c>
      <c r="AK22" s="31">
        <f t="shared" si="19"/>
        <v>95.662507427213299</v>
      </c>
      <c r="AL22" s="31">
        <f t="shared" si="20"/>
        <v>93.16770186335404</v>
      </c>
      <c r="AM22" s="31">
        <f t="shared" si="21"/>
        <v>100</v>
      </c>
      <c r="AN22" s="31">
        <f t="shared" si="22"/>
        <v>100</v>
      </c>
      <c r="AO22" s="31">
        <f t="shared" si="23"/>
        <v>100</v>
      </c>
      <c r="AP22" s="31">
        <f t="shared" si="24"/>
        <v>100</v>
      </c>
      <c r="AR22" s="118"/>
    </row>
    <row r="23" spans="1:44" s="71" customFormat="1" x14ac:dyDescent="0.35">
      <c r="A23" s="68">
        <v>21</v>
      </c>
      <c r="B23" s="148" t="s">
        <v>22</v>
      </c>
      <c r="C23" s="68" t="s">
        <v>23</v>
      </c>
      <c r="D23" s="67">
        <f>D19+D18+D13+D3</f>
        <v>17051.199999999997</v>
      </c>
      <c r="E23" s="67">
        <f>E19+E18+E13+E3</f>
        <v>11524.400000000001</v>
      </c>
      <c r="F23" s="67">
        <f>F19+F18+F13+F3</f>
        <v>12354.869999999999</v>
      </c>
      <c r="G23" s="67">
        <f>G19+G18+G13+G3</f>
        <v>13215.89</v>
      </c>
      <c r="H23" s="67">
        <f t="shared" ref="H23:Y23" si="25">H19+H18+H13+H3</f>
        <v>11005.91</v>
      </c>
      <c r="I23" s="67">
        <f t="shared" si="25"/>
        <v>20408.02</v>
      </c>
      <c r="J23" s="67">
        <f t="shared" si="25"/>
        <v>11900.89</v>
      </c>
      <c r="K23" s="67">
        <f t="shared" si="25"/>
        <v>12286.77</v>
      </c>
      <c r="L23" s="67">
        <f t="shared" si="25"/>
        <v>13079.8</v>
      </c>
      <c r="M23" s="67">
        <f t="shared" si="25"/>
        <v>14808.09</v>
      </c>
      <c r="N23" s="67">
        <f t="shared" si="25"/>
        <v>28851.010000000002</v>
      </c>
      <c r="O23" s="67">
        <f t="shared" si="25"/>
        <v>44063.4</v>
      </c>
      <c r="P23" s="67">
        <f t="shared" si="25"/>
        <v>16825.09</v>
      </c>
      <c r="Q23" s="67">
        <f t="shared" si="25"/>
        <v>25805.25</v>
      </c>
      <c r="R23" s="67">
        <f t="shared" si="25"/>
        <v>25151.78</v>
      </c>
      <c r="S23" s="67">
        <f t="shared" si="25"/>
        <v>50243.87</v>
      </c>
      <c r="T23" s="67">
        <f t="shared" si="25"/>
        <v>101311.76</v>
      </c>
      <c r="U23" s="67">
        <f t="shared" si="25"/>
        <v>41836</v>
      </c>
      <c r="V23" s="67">
        <f t="shared" si="25"/>
        <v>33508.770000000004</v>
      </c>
      <c r="W23" s="67">
        <f t="shared" si="25"/>
        <v>47810.78</v>
      </c>
      <c r="X23" s="67">
        <f t="shared" si="25"/>
        <v>45803.9</v>
      </c>
      <c r="Y23" s="67">
        <f t="shared" si="25"/>
        <v>55302.1</v>
      </c>
      <c r="Z23" s="67">
        <f>ZDROJ!AD23</f>
        <v>53068</v>
      </c>
      <c r="AA23" s="67">
        <f>AA19+AA18+AA13+AA3</f>
        <v>49670</v>
      </c>
      <c r="AB23" s="67">
        <f>AB19+AB18+AB13+AB3</f>
        <v>52520</v>
      </c>
      <c r="AC23" s="67">
        <f>AC19+AC18+AC13+AC3</f>
        <v>55720</v>
      </c>
      <c r="AD23" s="67">
        <f>AD19+AD18+AD13+AD3</f>
        <v>58870</v>
      </c>
      <c r="AE23" s="67">
        <f>AE19+AE18+AE13+AE3</f>
        <v>62220</v>
      </c>
      <c r="AF23" s="70">
        <f>(((E23/D23)+(F23/E23)+(G23/F23)+(H23/G23)+(I23/H23)+(J23/I23)+(L23/J23)+(M23/L23)+(N23/M23)+(O23/N23)+(P23/O23)+(Q23/P23)+(R23/Q23)+(S23/R23)+(T23/S23)+(U23/T23)+(V23/U23)+(W23/V23)+(X23/W23)+(Y23/X23)+(K23/J23))/21*100)-100</f>
        <v>16.844908338101149</v>
      </c>
      <c r="AG23" s="70">
        <f t="shared" si="4"/>
        <v>5.7936394396807174</v>
      </c>
      <c r="AH23" s="77">
        <f t="shared" ref="AH23:AH30" si="26">W23/V23*100</f>
        <v>142.68139355756716</v>
      </c>
      <c r="AI23" s="77">
        <f t="shared" ref="AI23:AJ30" si="27">X23/W23*100</f>
        <v>95.802452919613529</v>
      </c>
      <c r="AJ23" s="77">
        <f t="shared" si="27"/>
        <v>120.73666216195565</v>
      </c>
      <c r="AK23" s="77">
        <f t="shared" ref="AK23:AK36" si="28">Z23/Y23*100</f>
        <v>95.960189576887672</v>
      </c>
      <c r="AL23" s="77">
        <f t="shared" ref="AL23:AL36" si="29">AA23/Z23*100</f>
        <v>93.596894550388171</v>
      </c>
      <c r="AM23" s="77">
        <f t="shared" ref="AM23:AM36" si="30">AB23/AA23*100</f>
        <v>105.73786994161465</v>
      </c>
      <c r="AN23" s="77">
        <f t="shared" ref="AN23:AN36" si="31">AC23/AB23*100</f>
        <v>106.0929169840061</v>
      </c>
      <c r="AO23" s="77">
        <f t="shared" si="23"/>
        <v>105.6532663316583</v>
      </c>
      <c r="AP23" s="77">
        <f t="shared" si="24"/>
        <v>105.69050450144385</v>
      </c>
      <c r="AR23" s="512"/>
    </row>
    <row r="24" spans="1:44" s="66" customFormat="1" x14ac:dyDescent="0.35">
      <c r="A24" s="60">
        <v>22</v>
      </c>
      <c r="B24" s="146">
        <v>5</v>
      </c>
      <c r="C24" s="60" t="s">
        <v>24</v>
      </c>
      <c r="D24" s="61">
        <f>ZDROJ!E23</f>
        <v>13369.77</v>
      </c>
      <c r="E24" s="61">
        <f>ZDROJ!F23</f>
        <v>6749.93</v>
      </c>
      <c r="F24" s="61">
        <f>ZDROJ!G23</f>
        <v>7186.41</v>
      </c>
      <c r="G24" s="61">
        <f>ZDROJ!H23</f>
        <v>8576.56</v>
      </c>
      <c r="H24" s="61">
        <f>ZDROJ!I23</f>
        <v>7852.32</v>
      </c>
      <c r="I24" s="61">
        <f>ZDROJ!J23</f>
        <v>13234.47</v>
      </c>
      <c r="J24" s="61">
        <f>ZDROJ!K23</f>
        <v>9478.51</v>
      </c>
      <c r="K24" s="61">
        <f>ZDROJ!L23</f>
        <v>9311.67</v>
      </c>
      <c r="L24" s="61">
        <f>ZDROJ!M23</f>
        <v>9930.4</v>
      </c>
      <c r="M24" s="61">
        <f>ZDROJ!N23</f>
        <v>9606.49</v>
      </c>
      <c r="N24" s="61">
        <f>ZDROJ!O23</f>
        <v>6352.79</v>
      </c>
      <c r="O24" s="61">
        <f>ZDROJ!P23</f>
        <v>1640.81</v>
      </c>
      <c r="P24" s="61">
        <f>ZDROJ!Q23</f>
        <v>10377.83</v>
      </c>
      <c r="Q24" s="61">
        <f>ZDROJ!R23</f>
        <v>10816.59</v>
      </c>
      <c r="R24" s="61">
        <f>ZDROJ!S23</f>
        <v>15557.9</v>
      </c>
      <c r="S24" s="61">
        <f>ZDROJ!T23</f>
        <v>13717.71</v>
      </c>
      <c r="T24" s="61">
        <f>ZDROJ!U23</f>
        <v>16619.96</v>
      </c>
      <c r="U24" s="61">
        <f>ZDROJ!V23</f>
        <v>17179.5</v>
      </c>
      <c r="V24" s="61">
        <f>ZDROJ!W23</f>
        <v>25729.26</v>
      </c>
      <c r="W24" s="61">
        <f>ZDROJ!X23</f>
        <v>23264.52</v>
      </c>
      <c r="X24" s="61">
        <f>ZDROJ!Y23</f>
        <v>24872.87</v>
      </c>
      <c r="Y24" s="61">
        <f>ZDROJ!Z23</f>
        <v>25030.7</v>
      </c>
      <c r="Z24" s="61">
        <f>ZDROJ!AD24</f>
        <v>38126</v>
      </c>
      <c r="AA24" s="61">
        <f>SUM(AA25:AA30)</f>
        <v>39670</v>
      </c>
      <c r="AB24" s="61">
        <f>SUM(AB25:AB30)</f>
        <v>37520</v>
      </c>
      <c r="AC24" s="61">
        <f>SUM(AC25:AC30)</f>
        <v>38720</v>
      </c>
      <c r="AD24" s="61">
        <f>SUM(AD25:AD30)</f>
        <v>40870</v>
      </c>
      <c r="AE24" s="61">
        <f>SUM(AE25:AE30)</f>
        <v>42220</v>
      </c>
      <c r="AF24" s="62">
        <f>(((E24/D24)+(F24/E24)+(G24/F24)+(H24/G24)+(I24/H24)+(J24/I24)+(L24/J24)+(M24/L24)+(N24/M24)+(O24/N24)+(P24/O24)+(Q24/P24)+(R24/Q24)+(S24/R24)+(T24/S24)+(U24/T24)+(V24/U24)+(W24/V24)+(X24/W24)+(Y24/X24)+(K24/J24))/21*100)-100</f>
        <v>25.74730811298798</v>
      </c>
      <c r="AG24" s="199">
        <f t="shared" si="4"/>
        <v>1.6586059784233385</v>
      </c>
      <c r="AH24" s="64">
        <f t="shared" si="26"/>
        <v>90.420478474701568</v>
      </c>
      <c r="AI24" s="64">
        <f t="shared" si="27"/>
        <v>106.91331693067383</v>
      </c>
      <c r="AJ24" s="64">
        <f t="shared" si="27"/>
        <v>100.634546797374</v>
      </c>
      <c r="AK24" s="64">
        <f t="shared" si="28"/>
        <v>152.31695477953073</v>
      </c>
      <c r="AL24" s="64">
        <f t="shared" si="29"/>
        <v>104.04972984315167</v>
      </c>
      <c r="AM24" s="64">
        <f t="shared" si="30"/>
        <v>94.580287370809174</v>
      </c>
      <c r="AN24" s="64">
        <f t="shared" si="31"/>
        <v>103.19829424307036</v>
      </c>
      <c r="AO24" s="64">
        <f t="shared" si="23"/>
        <v>105.55268595041323</v>
      </c>
      <c r="AP24" s="64">
        <f t="shared" si="24"/>
        <v>103.30315634940055</v>
      </c>
      <c r="AR24" s="65"/>
    </row>
    <row r="25" spans="1:44" s="5" customFormat="1" x14ac:dyDescent="0.35">
      <c r="A25" s="3">
        <v>23</v>
      </c>
      <c r="B25" s="147">
        <v>50</v>
      </c>
      <c r="C25" s="3" t="s">
        <v>25</v>
      </c>
      <c r="D25" s="4"/>
      <c r="E25" s="4"/>
      <c r="F25" s="4"/>
      <c r="G25" s="4">
        <f>ZDROJ!H24</f>
        <v>2235.54</v>
      </c>
      <c r="H25" s="4">
        <f>ZDROJ!I24</f>
        <v>2445.31</v>
      </c>
      <c r="I25" s="4">
        <f>ZDROJ!J24</f>
        <v>2774.37</v>
      </c>
      <c r="J25" s="4">
        <f>ZDROJ!K24</f>
        <v>3256.35</v>
      </c>
      <c r="K25" s="4">
        <f>ZDROJ!L24</f>
        <v>2971.19</v>
      </c>
      <c r="L25" s="4">
        <f>ZDROJ!M24</f>
        <v>2962.64</v>
      </c>
      <c r="M25" s="4">
        <f>ZDROJ!N24</f>
        <v>3272.12</v>
      </c>
      <c r="N25" s="4">
        <f>ZDROJ!O24</f>
        <v>3620.92</v>
      </c>
      <c r="O25" s="4">
        <f>ZDROJ!P24</f>
        <v>3496.9</v>
      </c>
      <c r="P25" s="4">
        <f>ZDROJ!Q24</f>
        <v>3328.48</v>
      </c>
      <c r="Q25" s="4">
        <f>ZDROJ!R24</f>
        <v>3029.62</v>
      </c>
      <c r="R25" s="4">
        <f>ZDROJ!S24</f>
        <v>3838.06</v>
      </c>
      <c r="S25" s="4">
        <f>ZDROJ!T24</f>
        <v>4828.68</v>
      </c>
      <c r="T25" s="4">
        <f>ZDROJ!U24</f>
        <v>5137.87</v>
      </c>
      <c r="U25" s="4">
        <f>ZDROJ!V24</f>
        <v>5380.9</v>
      </c>
      <c r="V25" s="4">
        <f>ZDROJ!W24</f>
        <v>6385.02</v>
      </c>
      <c r="W25" s="4">
        <f>ZDROJ!X24</f>
        <v>7303.95</v>
      </c>
      <c r="X25" s="4">
        <f>ZDROJ!Y24</f>
        <v>8351.69</v>
      </c>
      <c r="Y25" s="4">
        <f>ZDROJ!Z24</f>
        <v>9312.11</v>
      </c>
      <c r="Z25" s="4">
        <f>ZDROJ!AD25</f>
        <v>9728</v>
      </c>
      <c r="AA25" s="268">
        <v>11100</v>
      </c>
      <c r="AB25" s="268">
        <v>12200</v>
      </c>
      <c r="AC25" s="268">
        <v>13400</v>
      </c>
      <c r="AD25" s="268">
        <v>14700</v>
      </c>
      <c r="AE25" s="268">
        <v>16000</v>
      </c>
      <c r="AF25" s="12"/>
      <c r="AG25" s="13">
        <f t="shared" si="4"/>
        <v>9.5727513589899615</v>
      </c>
      <c r="AH25" s="31">
        <f t="shared" si="26"/>
        <v>114.39196744880987</v>
      </c>
      <c r="AI25" s="31">
        <f t="shared" si="27"/>
        <v>114.34484080531769</v>
      </c>
      <c r="AJ25" s="31">
        <f t="shared" si="27"/>
        <v>111.49970844224342</v>
      </c>
      <c r="AK25" s="31">
        <f t="shared" si="28"/>
        <v>104.46611992341155</v>
      </c>
      <c r="AL25" s="31">
        <f t="shared" si="29"/>
        <v>114.10361842105263</v>
      </c>
      <c r="AM25" s="31">
        <f t="shared" si="30"/>
        <v>109.90990990990991</v>
      </c>
      <c r="AN25" s="31">
        <f t="shared" si="31"/>
        <v>109.8360655737705</v>
      </c>
      <c r="AO25" s="31">
        <f t="shared" si="23"/>
        <v>109.70149253731343</v>
      </c>
      <c r="AP25" s="31">
        <f t="shared" si="24"/>
        <v>108.84353741496599</v>
      </c>
      <c r="AR25" s="118"/>
    </row>
    <row r="26" spans="1:44" s="5" customFormat="1" ht="51.5" x14ac:dyDescent="0.35">
      <c r="A26" s="3">
        <v>24</v>
      </c>
      <c r="B26" s="147">
        <v>51</v>
      </c>
      <c r="C26" s="3" t="s">
        <v>257</v>
      </c>
      <c r="D26" s="4"/>
      <c r="E26" s="4"/>
      <c r="F26" s="4"/>
      <c r="G26" s="4">
        <f>ZDROJ!H25</f>
        <v>3272.28</v>
      </c>
      <c r="H26" s="4">
        <f>ZDROJ!I25</f>
        <v>3262.94</v>
      </c>
      <c r="I26" s="4">
        <f>ZDROJ!J25</f>
        <v>8139.01</v>
      </c>
      <c r="J26" s="4">
        <f>ZDROJ!K25</f>
        <v>4015.54</v>
      </c>
      <c r="K26" s="4">
        <f>ZDROJ!L25</f>
        <v>3613.86</v>
      </c>
      <c r="L26" s="4">
        <f>ZDROJ!M25</f>
        <v>3866.54</v>
      </c>
      <c r="M26" s="4">
        <f>ZDROJ!N25</f>
        <v>4135.95</v>
      </c>
      <c r="N26" s="4">
        <f>ZDROJ!O25</f>
        <v>3839.89</v>
      </c>
      <c r="O26" s="4">
        <f>ZDROJ!P25</f>
        <v>4600.3100000000004</v>
      </c>
      <c r="P26" s="4">
        <f>ZDROJ!Q25</f>
        <v>4824.6499999999996</v>
      </c>
      <c r="Q26" s="4">
        <f>ZDROJ!R25</f>
        <v>5183.16</v>
      </c>
      <c r="R26" s="4">
        <f>ZDROJ!S25</f>
        <v>8540.08</v>
      </c>
      <c r="S26" s="4">
        <f>ZDROJ!T25</f>
        <v>7735.16</v>
      </c>
      <c r="T26" s="4">
        <f>ZDROJ!U25</f>
        <v>9117.98</v>
      </c>
      <c r="U26" s="4">
        <f>ZDROJ!V25</f>
        <v>9087.4</v>
      </c>
      <c r="V26" s="4">
        <f>ZDROJ!W25</f>
        <v>16510.5</v>
      </c>
      <c r="W26" s="4">
        <f>ZDROJ!X25</f>
        <v>9094.86</v>
      </c>
      <c r="X26" s="4">
        <f>ZDROJ!Y25</f>
        <v>12669.45</v>
      </c>
      <c r="Y26" s="4">
        <f>ZDROJ!Z25</f>
        <v>11127.12</v>
      </c>
      <c r="Z26" s="4">
        <f>ZDROJ!AD26</f>
        <v>15171</v>
      </c>
      <c r="AA26" s="4">
        <v>10000</v>
      </c>
      <c r="AB26" s="4">
        <v>10500</v>
      </c>
      <c r="AC26" s="4">
        <v>11000</v>
      </c>
      <c r="AD26" s="4">
        <v>11600</v>
      </c>
      <c r="AE26" s="4">
        <v>12200</v>
      </c>
      <c r="AF26" s="12">
        <v>0</v>
      </c>
      <c r="AG26" s="13">
        <f t="shared" si="4"/>
        <v>5.0972160023884072</v>
      </c>
      <c r="AH26" s="31">
        <f t="shared" si="26"/>
        <v>55.085309348596354</v>
      </c>
      <c r="AI26" s="31">
        <f t="shared" si="27"/>
        <v>139.30340873856221</v>
      </c>
      <c r="AJ26" s="31">
        <f t="shared" si="27"/>
        <v>87.826385517919093</v>
      </c>
      <c r="AK26" s="31">
        <f t="shared" si="28"/>
        <v>136.34255764294804</v>
      </c>
      <c r="AL26" s="31">
        <f t="shared" si="29"/>
        <v>65.9152330103487</v>
      </c>
      <c r="AM26" s="31">
        <f t="shared" si="30"/>
        <v>105</v>
      </c>
      <c r="AN26" s="31">
        <f t="shared" si="31"/>
        <v>104.76190476190477</v>
      </c>
      <c r="AO26" s="31">
        <f t="shared" si="23"/>
        <v>105.45454545454544</v>
      </c>
      <c r="AP26" s="31">
        <f t="shared" si="24"/>
        <v>105.17241379310344</v>
      </c>
      <c r="AQ26" s="59"/>
      <c r="AR26" s="118"/>
    </row>
    <row r="27" spans="1:44" s="5" customFormat="1" x14ac:dyDescent="0.35">
      <c r="A27" s="3">
        <v>25</v>
      </c>
      <c r="B27" s="147">
        <v>52</v>
      </c>
      <c r="C27" s="3" t="s">
        <v>142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>
        <f>ZDROJ!O26</f>
        <v>226.18720000000002</v>
      </c>
      <c r="P27" s="4">
        <f>ZDROJ!Q26</f>
        <v>252.1122</v>
      </c>
      <c r="Q27" s="4">
        <f>ZDROJ!R26</f>
        <v>406.01640000000003</v>
      </c>
      <c r="R27" s="4">
        <f>ZDROJ!S26</f>
        <v>347.2448</v>
      </c>
      <c r="S27" s="4">
        <f>ZDROJ!T26</f>
        <v>393.34899999999999</v>
      </c>
      <c r="T27" s="4">
        <f>ZDROJ!U26</f>
        <v>185</v>
      </c>
      <c r="U27" s="4">
        <f>ZDROJ!V26</f>
        <v>187.19</v>
      </c>
      <c r="V27" s="4">
        <f>ZDROJ!W26</f>
        <v>236.4</v>
      </c>
      <c r="W27" s="4">
        <f>ZDROJ!X26</f>
        <v>165.5</v>
      </c>
      <c r="X27" s="4">
        <f>ZDROJ!Y26</f>
        <v>293</v>
      </c>
      <c r="Y27" s="4">
        <f>ZDROJ!Z26</f>
        <v>245</v>
      </c>
      <c r="Z27" s="4">
        <f>ZDROJ!AD27</f>
        <v>2844</v>
      </c>
      <c r="AA27" s="4">
        <v>300</v>
      </c>
      <c r="AB27" s="4">
        <v>300</v>
      </c>
      <c r="AC27" s="4">
        <v>300</v>
      </c>
      <c r="AD27" s="4">
        <v>300</v>
      </c>
      <c r="AE27" s="4">
        <v>300</v>
      </c>
      <c r="AF27" s="12"/>
      <c r="AG27" s="13">
        <f t="shared" si="4"/>
        <v>0</v>
      </c>
      <c r="AH27" s="31">
        <f t="shared" si="26"/>
        <v>70.008460236886634</v>
      </c>
      <c r="AI27" s="31">
        <f t="shared" si="27"/>
        <v>177.0392749244713</v>
      </c>
      <c r="AJ27" s="31">
        <f t="shared" si="27"/>
        <v>83.617747440273035</v>
      </c>
      <c r="AK27" s="31">
        <f t="shared" si="28"/>
        <v>1160.8163265306123</v>
      </c>
      <c r="AL27" s="31">
        <f t="shared" si="29"/>
        <v>10.548523206751055</v>
      </c>
      <c r="AM27" s="31">
        <f t="shared" si="30"/>
        <v>100</v>
      </c>
      <c r="AN27" s="31">
        <f t="shared" si="31"/>
        <v>100</v>
      </c>
      <c r="AO27" s="31">
        <f t="shared" si="23"/>
        <v>100</v>
      </c>
      <c r="AP27" s="31">
        <f t="shared" si="24"/>
        <v>100</v>
      </c>
      <c r="AR27" s="118"/>
    </row>
    <row r="28" spans="1:44" s="5" customFormat="1" ht="25.5" thickBot="1" x14ac:dyDescent="0.4">
      <c r="A28" s="3">
        <v>26</v>
      </c>
      <c r="B28" s="147">
        <v>533</v>
      </c>
      <c r="C28" s="3" t="s">
        <v>235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>
        <f>ZDROJ!O27</f>
        <v>1856.84087</v>
      </c>
      <c r="P28" s="4">
        <f>ZDROJ!Q27</f>
        <v>1849.2852600000001</v>
      </c>
      <c r="Q28" s="4">
        <f>ZDROJ!R27</f>
        <v>1987.2380000000001</v>
      </c>
      <c r="R28" s="4">
        <f>ZDROJ!S27</f>
        <v>3441.0839999999998</v>
      </c>
      <c r="S28" s="4">
        <f>ZDROJ!T27</f>
        <v>1754.7</v>
      </c>
      <c r="T28" s="4">
        <f>ZDROJ!U27</f>
        <v>2121.6999999999998</v>
      </c>
      <c r="U28" s="4">
        <f>ZDROJ!V27</f>
        <v>2577.6329999999998</v>
      </c>
      <c r="V28" s="4">
        <f>ZDROJ!W27</f>
        <v>2017.5989999999999</v>
      </c>
      <c r="W28" s="4">
        <f>ZDROJ!X27</f>
        <v>5020.0808999999999</v>
      </c>
      <c r="X28" s="4">
        <f>ZDROJ!Y27</f>
        <v>2893.9</v>
      </c>
      <c r="Y28" s="4">
        <f>ZDROJ!Z27</f>
        <v>3573.8791000000001</v>
      </c>
      <c r="Z28" s="4">
        <f>ZDROJ!AD28</f>
        <v>9668</v>
      </c>
      <c r="AA28" s="4">
        <v>10000</v>
      </c>
      <c r="AB28" s="4">
        <v>10500</v>
      </c>
      <c r="AC28" s="4">
        <v>11000</v>
      </c>
      <c r="AD28" s="4">
        <v>11500</v>
      </c>
      <c r="AE28" s="4">
        <v>12000</v>
      </c>
      <c r="AF28" s="12"/>
      <c r="AG28" s="13">
        <f t="shared" si="4"/>
        <v>4.6637963485789555</v>
      </c>
      <c r="AH28" s="31">
        <f t="shared" si="26"/>
        <v>248.81460091921141</v>
      </c>
      <c r="AI28" s="31">
        <f t="shared" si="27"/>
        <v>57.646481354513632</v>
      </c>
      <c r="AJ28" s="31">
        <f t="shared" si="27"/>
        <v>123.49697985417603</v>
      </c>
      <c r="AK28" s="31">
        <f t="shared" si="28"/>
        <v>270.51838435161392</v>
      </c>
      <c r="AL28" s="31">
        <f t="shared" si="29"/>
        <v>103.4340091021928</v>
      </c>
      <c r="AM28" s="31">
        <f t="shared" si="30"/>
        <v>105</v>
      </c>
      <c r="AN28" s="31">
        <f t="shared" si="31"/>
        <v>104.76190476190477</v>
      </c>
      <c r="AO28" s="31">
        <f t="shared" si="23"/>
        <v>104.54545454545455</v>
      </c>
      <c r="AP28" s="31">
        <f t="shared" si="24"/>
        <v>104.34782608695652</v>
      </c>
      <c r="AR28" s="118"/>
    </row>
    <row r="29" spans="1:44" s="5" customFormat="1" ht="26.5" thickBot="1" x14ac:dyDescent="0.35">
      <c r="A29" s="3">
        <v>27</v>
      </c>
      <c r="B29" s="421" t="s">
        <v>240</v>
      </c>
      <c r="C29" s="3" t="s">
        <v>242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>
        <f>ZDROJ!R28</f>
        <v>210.55560000000037</v>
      </c>
      <c r="R29" s="4">
        <f>ZDROJ!S28</f>
        <v>-608.56879999999956</v>
      </c>
      <c r="S29" s="4">
        <f>ZDROJ!T28</f>
        <v>-994.179000000001</v>
      </c>
      <c r="T29" s="4">
        <f>ZDROJ!U28</f>
        <v>57.410000000000764</v>
      </c>
      <c r="U29" s="4">
        <f>ZDROJ!V28</f>
        <v>-53.622999999999138</v>
      </c>
      <c r="V29" s="4">
        <f>ZDROJ!W28</f>
        <v>579.74099999999794</v>
      </c>
      <c r="W29" s="4">
        <f>ZDROJ!X28</f>
        <v>1680.1290999999992</v>
      </c>
      <c r="X29" s="4">
        <f>ZDROJ!Y28</f>
        <v>664.82999999999947</v>
      </c>
      <c r="Y29" s="4">
        <f>ZDROJ!Z28</f>
        <v>772.59089999999924</v>
      </c>
      <c r="Z29" s="4">
        <f>ZDROJ!AD29</f>
        <v>705</v>
      </c>
      <c r="AA29" s="4">
        <v>800</v>
      </c>
      <c r="AB29" s="4">
        <v>800</v>
      </c>
      <c r="AC29" s="4">
        <v>800</v>
      </c>
      <c r="AD29" s="4">
        <v>800</v>
      </c>
      <c r="AE29" s="4">
        <v>800</v>
      </c>
      <c r="AF29" s="253"/>
      <c r="AG29" s="252" t="s">
        <v>275</v>
      </c>
      <c r="AH29" s="31">
        <f t="shared" si="26"/>
        <v>289.80684478068747</v>
      </c>
      <c r="AI29" s="31">
        <f t="shared" si="27"/>
        <v>39.570173506309708</v>
      </c>
      <c r="AJ29" s="31">
        <f t="shared" si="27"/>
        <v>116.20879021704795</v>
      </c>
      <c r="AK29" s="31">
        <f t="shared" si="28"/>
        <v>91.251398379142273</v>
      </c>
      <c r="AL29" s="31">
        <f t="shared" si="29"/>
        <v>113.47517730496455</v>
      </c>
      <c r="AM29" s="31">
        <f t="shared" si="30"/>
        <v>100</v>
      </c>
      <c r="AN29" s="31">
        <f t="shared" si="31"/>
        <v>100</v>
      </c>
      <c r="AO29" s="31">
        <f t="shared" si="23"/>
        <v>100</v>
      </c>
      <c r="AP29" s="31">
        <f t="shared" si="24"/>
        <v>100</v>
      </c>
      <c r="AR29" s="118"/>
    </row>
    <row r="30" spans="1:44" s="5" customFormat="1" ht="20.5" thickBot="1" x14ac:dyDescent="0.4">
      <c r="A30" s="3">
        <v>28</v>
      </c>
      <c r="B30" s="421" t="s">
        <v>192</v>
      </c>
      <c r="C30" s="3" t="s">
        <v>267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>
        <f>ZDROJ!AD30</f>
        <v>10</v>
      </c>
      <c r="AA30" s="4">
        <v>7470</v>
      </c>
      <c r="AB30" s="4">
        <v>3220</v>
      </c>
      <c r="AC30" s="4">
        <v>2220</v>
      </c>
      <c r="AD30" s="4">
        <v>1970</v>
      </c>
      <c r="AE30" s="268">
        <v>920</v>
      </c>
      <c r="AF30" s="267">
        <v>0</v>
      </c>
      <c r="AG30" s="92">
        <f>SUM(AA30:AF30)</f>
        <v>15800</v>
      </c>
      <c r="AH30" s="31" t="e">
        <f t="shared" si="26"/>
        <v>#DIV/0!</v>
      </c>
      <c r="AI30" s="31" t="e">
        <f t="shared" si="27"/>
        <v>#DIV/0!</v>
      </c>
      <c r="AJ30" s="31" t="e">
        <f t="shared" si="27"/>
        <v>#DIV/0!</v>
      </c>
      <c r="AK30" s="31" t="e">
        <f t="shared" si="28"/>
        <v>#DIV/0!</v>
      </c>
      <c r="AL30" s="31">
        <f t="shared" si="29"/>
        <v>74700</v>
      </c>
      <c r="AM30" s="31">
        <f t="shared" si="30"/>
        <v>43.105756358768403</v>
      </c>
      <c r="AN30" s="31">
        <f t="shared" si="31"/>
        <v>68.944099378881987</v>
      </c>
      <c r="AO30" s="31">
        <f t="shared" si="23"/>
        <v>88.738738738738746</v>
      </c>
      <c r="AP30" s="31">
        <f t="shared" si="24"/>
        <v>46.700507614213201</v>
      </c>
      <c r="AR30" s="118"/>
    </row>
    <row r="31" spans="1:44" s="66" customFormat="1" x14ac:dyDescent="0.35">
      <c r="A31" s="60">
        <v>29</v>
      </c>
      <c r="B31" s="146">
        <v>6</v>
      </c>
      <c r="C31" s="60" t="s">
        <v>197</v>
      </c>
      <c r="D31" s="61">
        <f>ZDROJ!E29</f>
        <v>3051.89</v>
      </c>
      <c r="E31" s="61">
        <f>ZDROJ!F29</f>
        <v>4780.29</v>
      </c>
      <c r="F31" s="61">
        <f>ZDROJ!G29</f>
        <v>641.53</v>
      </c>
      <c r="G31" s="61">
        <f>ZDROJ!H29</f>
        <v>5177.1000000000004</v>
      </c>
      <c r="H31" s="61">
        <f>ZDROJ!I29</f>
        <v>1226.99</v>
      </c>
      <c r="I31" s="61">
        <f>ZDROJ!J29</f>
        <v>433.6</v>
      </c>
      <c r="J31" s="61">
        <f>ZDROJ!K29</f>
        <v>1473.51</v>
      </c>
      <c r="K31" s="61">
        <f>ZDROJ!L29</f>
        <v>1537.49</v>
      </c>
      <c r="L31" s="61">
        <f>ZDROJ!M29</f>
        <v>1924.3</v>
      </c>
      <c r="M31" s="61">
        <f>ZDROJ!N29</f>
        <v>2364.4</v>
      </c>
      <c r="N31" s="61">
        <f>ZDROJ!O29</f>
        <v>20845.96</v>
      </c>
      <c r="O31" s="61">
        <f>ZDROJ!P29</f>
        <v>51162.47</v>
      </c>
      <c r="P31" s="61">
        <f>ZDROJ!Q29</f>
        <v>506.63</v>
      </c>
      <c r="Q31" s="61">
        <f>ZDROJ!R29</f>
        <v>9156.0300000000007</v>
      </c>
      <c r="R31" s="61">
        <f>ZDROJ!S29</f>
        <v>8350.94</v>
      </c>
      <c r="S31" s="61">
        <f>ZDROJ!T29</f>
        <v>15611.04</v>
      </c>
      <c r="T31" s="61">
        <f>ZDROJ!U29</f>
        <v>105570.06</v>
      </c>
      <c r="U31" s="61">
        <f>ZDROJ!V29</f>
        <v>40208</v>
      </c>
      <c r="V31" s="61">
        <f>ZDROJ!W29</f>
        <v>8530.9599999999991</v>
      </c>
      <c r="W31" s="61">
        <f>ZDROJ!X29</f>
        <v>17655.599999999999</v>
      </c>
      <c r="X31" s="61">
        <f>ZDROJ!Y29</f>
        <v>46531.39</v>
      </c>
      <c r="Y31" s="61">
        <f>ZDROJ!Z29</f>
        <v>12597.39</v>
      </c>
      <c r="Z31" s="61">
        <f>ZDROJ!AD31</f>
        <v>18244</v>
      </c>
      <c r="AA31" s="61">
        <v>0</v>
      </c>
      <c r="AB31" s="61">
        <v>0</v>
      </c>
      <c r="AC31" s="61">
        <v>0</v>
      </c>
      <c r="AD31" s="61">
        <v>0</v>
      </c>
      <c r="AE31" s="61">
        <v>0</v>
      </c>
      <c r="AF31" s="62"/>
      <c r="AG31" s="63"/>
      <c r="AH31" s="64"/>
      <c r="AI31" s="64"/>
      <c r="AJ31" s="64"/>
      <c r="AK31" s="64">
        <f t="shared" si="28"/>
        <v>144.82364997828915</v>
      </c>
      <c r="AL31" s="64">
        <f t="shared" si="29"/>
        <v>0</v>
      </c>
      <c r="AM31" s="64" t="e">
        <f t="shared" si="30"/>
        <v>#DIV/0!</v>
      </c>
      <c r="AN31" s="64" t="e">
        <f t="shared" si="31"/>
        <v>#DIV/0!</v>
      </c>
      <c r="AO31" s="64" t="e">
        <f t="shared" si="23"/>
        <v>#DIV/0!</v>
      </c>
      <c r="AP31" s="64" t="e">
        <f t="shared" si="24"/>
        <v>#DIV/0!</v>
      </c>
      <c r="AR31" s="65"/>
    </row>
    <row r="32" spans="1:44" s="71" customFormat="1" ht="13.5" thickBot="1" x14ac:dyDescent="0.4">
      <c r="A32" s="123">
        <v>30</v>
      </c>
      <c r="B32" s="149" t="s">
        <v>28</v>
      </c>
      <c r="C32" s="123" t="s">
        <v>29</v>
      </c>
      <c r="D32" s="124">
        <f t="shared" ref="D32:J32" si="32">D31+D24</f>
        <v>16421.66</v>
      </c>
      <c r="E32" s="124">
        <f t="shared" si="32"/>
        <v>11530.220000000001</v>
      </c>
      <c r="F32" s="124">
        <f t="shared" si="32"/>
        <v>7827.94</v>
      </c>
      <c r="G32" s="124">
        <f t="shared" si="32"/>
        <v>13753.66</v>
      </c>
      <c r="H32" s="124">
        <f t="shared" si="32"/>
        <v>9079.31</v>
      </c>
      <c r="I32" s="124">
        <f t="shared" si="32"/>
        <v>13668.07</v>
      </c>
      <c r="J32" s="124">
        <f t="shared" si="32"/>
        <v>10952.02</v>
      </c>
      <c r="K32" s="124">
        <f t="shared" ref="K32:X32" si="33">K31+K24</f>
        <v>10849.16</v>
      </c>
      <c r="L32" s="124">
        <f t="shared" si="33"/>
        <v>11854.699999999999</v>
      </c>
      <c r="M32" s="124">
        <f t="shared" si="33"/>
        <v>11970.89</v>
      </c>
      <c r="N32" s="124">
        <f t="shared" si="33"/>
        <v>27198.75</v>
      </c>
      <c r="O32" s="124">
        <f t="shared" si="33"/>
        <v>52803.28</v>
      </c>
      <c r="P32" s="124">
        <f t="shared" si="33"/>
        <v>10884.46</v>
      </c>
      <c r="Q32" s="124">
        <f t="shared" si="33"/>
        <v>19972.620000000003</v>
      </c>
      <c r="R32" s="124">
        <f t="shared" si="33"/>
        <v>23908.84</v>
      </c>
      <c r="S32" s="124">
        <f t="shared" si="33"/>
        <v>29328.75</v>
      </c>
      <c r="T32" s="124">
        <f t="shared" si="33"/>
        <v>122190.01999999999</v>
      </c>
      <c r="U32" s="124">
        <f t="shared" si="33"/>
        <v>57387.5</v>
      </c>
      <c r="V32" s="124">
        <f t="shared" si="33"/>
        <v>34260.22</v>
      </c>
      <c r="W32" s="124">
        <f t="shared" si="33"/>
        <v>40920.119999999995</v>
      </c>
      <c r="X32" s="124">
        <f t="shared" si="33"/>
        <v>71404.259999999995</v>
      </c>
      <c r="Y32" s="124">
        <f>Y31+Y24</f>
        <v>37628.089999999997</v>
      </c>
      <c r="Z32" s="124">
        <f>ZDROJ!AD32</f>
        <v>56370</v>
      </c>
      <c r="AA32" s="124">
        <f>AA31+AA24</f>
        <v>39670</v>
      </c>
      <c r="AB32" s="124">
        <f>AB31+AB24</f>
        <v>37520</v>
      </c>
      <c r="AC32" s="124">
        <f>AC31+AC24</f>
        <v>38720</v>
      </c>
      <c r="AD32" s="124">
        <f>AD31+AD24</f>
        <v>40870</v>
      </c>
      <c r="AE32" s="124">
        <f>AE31+AE24</f>
        <v>42220</v>
      </c>
      <c r="AF32" s="70"/>
      <c r="AG32" s="70">
        <f t="shared" ref="AG32:AG34" si="34">IFERROR(((AVERAGE(AM32:AP32))-100),0)</f>
        <v>1.6586059784233385</v>
      </c>
      <c r="AH32" s="77">
        <f t="shared" ref="AH32:AJ36" si="35">W32/V32*100</f>
        <v>119.43916297093244</v>
      </c>
      <c r="AI32" s="77">
        <f t="shared" si="35"/>
        <v>174.49670235571156</v>
      </c>
      <c r="AJ32" s="77">
        <f t="shared" si="35"/>
        <v>52.697262040107972</v>
      </c>
      <c r="AK32" s="77">
        <f t="shared" si="28"/>
        <v>149.80829481379473</v>
      </c>
      <c r="AL32" s="77">
        <f t="shared" si="29"/>
        <v>70.374312577612201</v>
      </c>
      <c r="AM32" s="77">
        <f t="shared" si="30"/>
        <v>94.580287370809174</v>
      </c>
      <c r="AN32" s="77">
        <f t="shared" si="31"/>
        <v>103.19829424307036</v>
      </c>
      <c r="AO32" s="77">
        <f t="shared" si="23"/>
        <v>105.55268595041323</v>
      </c>
      <c r="AP32" s="77">
        <f t="shared" si="24"/>
        <v>103.30315634940055</v>
      </c>
      <c r="AR32" s="512"/>
    </row>
    <row r="33" spans="1:51" s="5" customFormat="1" ht="13.5" thickBot="1" x14ac:dyDescent="0.4">
      <c r="A33" s="107">
        <v>31</v>
      </c>
      <c r="B33" s="150" t="s">
        <v>30</v>
      </c>
      <c r="C33" s="109" t="s">
        <v>31</v>
      </c>
      <c r="D33" s="106">
        <f t="shared" ref="D33:J33" si="36">D23-D32</f>
        <v>629.53999999999724</v>
      </c>
      <c r="E33" s="106">
        <f t="shared" si="36"/>
        <v>-5.819999999999709</v>
      </c>
      <c r="F33" s="106">
        <f t="shared" si="36"/>
        <v>4526.9299999999994</v>
      </c>
      <c r="G33" s="106">
        <f t="shared" si="36"/>
        <v>-537.77000000000044</v>
      </c>
      <c r="H33" s="106">
        <f t="shared" si="36"/>
        <v>1926.6000000000004</v>
      </c>
      <c r="I33" s="106">
        <f t="shared" si="36"/>
        <v>6739.9500000000007</v>
      </c>
      <c r="J33" s="106">
        <f t="shared" si="36"/>
        <v>948.86999999999898</v>
      </c>
      <c r="K33" s="106">
        <f t="shared" ref="K33:X33" si="37">K23-K32</f>
        <v>1437.6100000000006</v>
      </c>
      <c r="L33" s="106">
        <f t="shared" si="37"/>
        <v>1225.1000000000004</v>
      </c>
      <c r="M33" s="106">
        <f t="shared" si="37"/>
        <v>2837.2000000000007</v>
      </c>
      <c r="N33" s="106">
        <f t="shared" si="37"/>
        <v>1652.260000000002</v>
      </c>
      <c r="O33" s="106">
        <f t="shared" si="37"/>
        <v>-8739.8799999999974</v>
      </c>
      <c r="P33" s="106">
        <f t="shared" si="37"/>
        <v>5940.630000000001</v>
      </c>
      <c r="Q33" s="106">
        <f t="shared" si="37"/>
        <v>5832.6299999999974</v>
      </c>
      <c r="R33" s="106">
        <f t="shared" si="37"/>
        <v>1242.9399999999987</v>
      </c>
      <c r="S33" s="106">
        <f t="shared" si="37"/>
        <v>20915.120000000003</v>
      </c>
      <c r="T33" s="106">
        <f t="shared" si="37"/>
        <v>-20878.259999999995</v>
      </c>
      <c r="U33" s="106">
        <f t="shared" si="37"/>
        <v>-15551.5</v>
      </c>
      <c r="V33" s="106">
        <f t="shared" si="37"/>
        <v>-751.44999999999709</v>
      </c>
      <c r="W33" s="106">
        <f t="shared" si="37"/>
        <v>6890.6600000000035</v>
      </c>
      <c r="X33" s="106">
        <f t="shared" si="37"/>
        <v>-25600.359999999993</v>
      </c>
      <c r="Y33" s="106">
        <f>Y23-Y32</f>
        <v>17674.010000000002</v>
      </c>
      <c r="Z33" s="106">
        <f>ZDROJ!AD33</f>
        <v>-3302</v>
      </c>
      <c r="AA33" s="106">
        <f>AA23-AA32</f>
        <v>10000</v>
      </c>
      <c r="AB33" s="106">
        <f>AB23-AB32</f>
        <v>15000</v>
      </c>
      <c r="AC33" s="106">
        <f>AC23-AC32</f>
        <v>17000</v>
      </c>
      <c r="AD33" s="106">
        <f>AD23-AD32</f>
        <v>18000</v>
      </c>
      <c r="AE33" s="106">
        <f>AE23-AE32</f>
        <v>20000</v>
      </c>
      <c r="AF33" s="122"/>
      <c r="AG33" s="13">
        <f t="shared" si="34"/>
        <v>20.08169934640523</v>
      </c>
      <c r="AH33" s="31">
        <f t="shared" si="35"/>
        <v>-916.98183511877437</v>
      </c>
      <c r="AI33" s="31">
        <f t="shared" si="35"/>
        <v>-371.52261176723249</v>
      </c>
      <c r="AJ33" s="31">
        <f t="shared" si="35"/>
        <v>-69.038130713786856</v>
      </c>
      <c r="AK33" s="31">
        <f t="shared" si="28"/>
        <v>-18.682800337897284</v>
      </c>
      <c r="AL33" s="31">
        <f t="shared" si="29"/>
        <v>-302.84675953967292</v>
      </c>
      <c r="AM33" s="31">
        <f t="shared" si="30"/>
        <v>150</v>
      </c>
      <c r="AN33" s="31">
        <f t="shared" si="31"/>
        <v>113.33333333333333</v>
      </c>
      <c r="AO33" s="31">
        <f t="shared" si="23"/>
        <v>105.88235294117648</v>
      </c>
      <c r="AP33" s="31">
        <f t="shared" si="24"/>
        <v>111.11111111111111</v>
      </c>
      <c r="AQ33" s="5">
        <v>2022</v>
      </c>
      <c r="AR33" s="118">
        <v>2023</v>
      </c>
      <c r="AS33" s="5">
        <v>2024</v>
      </c>
      <c r="AT33" s="5">
        <v>2025</v>
      </c>
      <c r="AU33" s="5">
        <v>2026</v>
      </c>
      <c r="AV33" s="5">
        <v>2027</v>
      </c>
      <c r="AW33" s="5">
        <v>2028</v>
      </c>
      <c r="AX33" s="5">
        <v>2029</v>
      </c>
      <c r="AY33" s="5">
        <v>2030</v>
      </c>
    </row>
    <row r="34" spans="1:51" s="5" customFormat="1" ht="13.5" thickBot="1" x14ac:dyDescent="0.4">
      <c r="A34" s="125">
        <v>32</v>
      </c>
      <c r="B34" s="145" t="s">
        <v>32</v>
      </c>
      <c r="C34" s="125" t="s">
        <v>33</v>
      </c>
      <c r="D34" s="126">
        <f t="shared" ref="D34:J34" si="38">D3+D13+D20</f>
        <v>8016.74</v>
      </c>
      <c r="E34" s="126">
        <f t="shared" si="38"/>
        <v>8270.18</v>
      </c>
      <c r="F34" s="126">
        <f t="shared" si="38"/>
        <v>8015.92</v>
      </c>
      <c r="G34" s="126">
        <f t="shared" si="38"/>
        <v>11149.93</v>
      </c>
      <c r="H34" s="126">
        <f t="shared" si="38"/>
        <v>10978.91</v>
      </c>
      <c r="I34" s="126">
        <f t="shared" si="38"/>
        <v>13216.25</v>
      </c>
      <c r="J34" s="126">
        <f t="shared" si="38"/>
        <v>11365.769999999999</v>
      </c>
      <c r="K34" s="126">
        <f t="shared" ref="K34:AE34" si="39">K3+K13+K20</f>
        <v>11601.599999999999</v>
      </c>
      <c r="L34" s="126">
        <f t="shared" si="39"/>
        <v>12907.099999999999</v>
      </c>
      <c r="M34" s="126">
        <f t="shared" si="39"/>
        <v>14738.330000000002</v>
      </c>
      <c r="N34" s="126">
        <f t="shared" si="39"/>
        <v>15650.09</v>
      </c>
      <c r="O34" s="126">
        <f t="shared" si="39"/>
        <v>16125.689999999999</v>
      </c>
      <c r="P34" s="126">
        <f t="shared" si="39"/>
        <v>16539.57</v>
      </c>
      <c r="Q34" s="126">
        <f t="shared" si="39"/>
        <v>18272.14</v>
      </c>
      <c r="R34" s="126">
        <f t="shared" si="39"/>
        <v>22935.85</v>
      </c>
      <c r="S34" s="126">
        <f t="shared" si="39"/>
        <v>25208.43</v>
      </c>
      <c r="T34" s="126">
        <f t="shared" si="39"/>
        <v>24275</v>
      </c>
      <c r="U34" s="126">
        <f t="shared" si="39"/>
        <v>26957.3</v>
      </c>
      <c r="V34" s="126">
        <f t="shared" si="39"/>
        <v>31966.74</v>
      </c>
      <c r="W34" s="126">
        <f t="shared" si="39"/>
        <v>37950.559999999998</v>
      </c>
      <c r="X34" s="126">
        <f t="shared" si="39"/>
        <v>38128.26</v>
      </c>
      <c r="Y34" s="126">
        <f t="shared" si="39"/>
        <v>39173.81</v>
      </c>
      <c r="Z34" s="126">
        <f t="shared" si="39"/>
        <v>47399</v>
      </c>
      <c r="AA34" s="126">
        <f t="shared" si="39"/>
        <v>49670</v>
      </c>
      <c r="AB34" s="126">
        <f t="shared" si="39"/>
        <v>52520</v>
      </c>
      <c r="AC34" s="126">
        <f t="shared" si="39"/>
        <v>55720</v>
      </c>
      <c r="AD34" s="126">
        <f t="shared" si="39"/>
        <v>58870</v>
      </c>
      <c r="AE34" s="126">
        <f t="shared" si="39"/>
        <v>62220</v>
      </c>
      <c r="AF34" s="12">
        <f>(((E34/D34)+(F34/E34)+(G34/F34)+(H34/G34)+(I34/H34)+(J34/I34)+(L34/J34)+(M34/L34)+(N34/M34)+(O34/N34)+(P34/O34)+(Q34/P34)+(R34/Q34)+(S34/R34)+(T34/S34)+(U34/T34)+(V34/U34)+(W34/V34)+(X34/W34)+(Y34/X34)+(K34/J34))/21*100)-100</f>
        <v>8.5433081241653497</v>
      </c>
      <c r="AG34" s="200">
        <f t="shared" si="34"/>
        <v>5.7936394396807174</v>
      </c>
      <c r="AH34" s="31">
        <f t="shared" si="35"/>
        <v>118.71889344987945</v>
      </c>
      <c r="AI34" s="31">
        <f t="shared" si="35"/>
        <v>100.46824078485272</v>
      </c>
      <c r="AJ34" s="31">
        <f t="shared" si="35"/>
        <v>102.74219174963662</v>
      </c>
      <c r="AK34" s="31">
        <f t="shared" si="28"/>
        <v>120.99665567377798</v>
      </c>
      <c r="AL34" s="31">
        <f t="shared" si="29"/>
        <v>104.79124032152578</v>
      </c>
      <c r="AM34" s="31">
        <f t="shared" si="30"/>
        <v>105.73786994161465</v>
      </c>
      <c r="AN34" s="31">
        <f t="shared" si="31"/>
        <v>106.0929169840061</v>
      </c>
      <c r="AO34" s="31">
        <f t="shared" si="23"/>
        <v>105.6532663316583</v>
      </c>
      <c r="AP34" s="31">
        <f t="shared" si="24"/>
        <v>105.69050450144385</v>
      </c>
      <c r="AQ34" s="183">
        <f>W34-V34</f>
        <v>5983.8199999999961</v>
      </c>
      <c r="AR34" s="513">
        <f t="shared" ref="AQ34:AY35" si="40">X34-W34</f>
        <v>177.70000000000437</v>
      </c>
      <c r="AS34" s="183">
        <f t="shared" si="40"/>
        <v>1045.5499999999956</v>
      </c>
      <c r="AT34" s="183">
        <f t="shared" si="40"/>
        <v>8225.1900000000023</v>
      </c>
      <c r="AU34" s="183">
        <f t="shared" si="40"/>
        <v>2271</v>
      </c>
      <c r="AV34" s="183">
        <f t="shared" si="40"/>
        <v>2850</v>
      </c>
      <c r="AW34" s="183">
        <f t="shared" si="40"/>
        <v>3200</v>
      </c>
      <c r="AX34" s="183">
        <f t="shared" si="40"/>
        <v>3150</v>
      </c>
      <c r="AY34" s="183">
        <f>AE34-AD34</f>
        <v>3350</v>
      </c>
    </row>
    <row r="35" spans="1:51" s="5" customFormat="1" ht="26.5" thickBot="1" x14ac:dyDescent="0.35">
      <c r="A35" s="127">
        <v>33</v>
      </c>
      <c r="B35" s="151">
        <v>5</v>
      </c>
      <c r="C35" s="127" t="s">
        <v>176</v>
      </c>
      <c r="D35" s="128">
        <f t="shared" ref="D35:J35" si="41">D24</f>
        <v>13369.77</v>
      </c>
      <c r="E35" s="128">
        <f t="shared" si="41"/>
        <v>6749.93</v>
      </c>
      <c r="F35" s="128">
        <f t="shared" si="41"/>
        <v>7186.41</v>
      </c>
      <c r="G35" s="128">
        <f t="shared" si="41"/>
        <v>8576.56</v>
      </c>
      <c r="H35" s="128">
        <f t="shared" si="41"/>
        <v>7852.32</v>
      </c>
      <c r="I35" s="128">
        <f t="shared" si="41"/>
        <v>13234.47</v>
      </c>
      <c r="J35" s="128">
        <f t="shared" si="41"/>
        <v>9478.51</v>
      </c>
      <c r="K35" s="128">
        <f t="shared" ref="K35:AE35" si="42">K24</f>
        <v>9311.67</v>
      </c>
      <c r="L35" s="128">
        <f t="shared" si="42"/>
        <v>9930.4</v>
      </c>
      <c r="M35" s="128">
        <f t="shared" si="42"/>
        <v>9606.49</v>
      </c>
      <c r="N35" s="128">
        <f t="shared" si="42"/>
        <v>6352.79</v>
      </c>
      <c r="O35" s="128">
        <f t="shared" si="42"/>
        <v>1640.81</v>
      </c>
      <c r="P35" s="128">
        <f t="shared" si="42"/>
        <v>10377.83</v>
      </c>
      <c r="Q35" s="128">
        <f t="shared" si="42"/>
        <v>10816.59</v>
      </c>
      <c r="R35" s="128">
        <f t="shared" si="42"/>
        <v>15557.9</v>
      </c>
      <c r="S35" s="128">
        <f t="shared" si="42"/>
        <v>13717.71</v>
      </c>
      <c r="T35" s="128">
        <f t="shared" si="42"/>
        <v>16619.96</v>
      </c>
      <c r="U35" s="128">
        <f t="shared" si="42"/>
        <v>17179.5</v>
      </c>
      <c r="V35" s="128">
        <f t="shared" si="42"/>
        <v>25729.26</v>
      </c>
      <c r="W35" s="128">
        <f t="shared" si="42"/>
        <v>23264.52</v>
      </c>
      <c r="X35" s="128">
        <f t="shared" si="42"/>
        <v>24872.87</v>
      </c>
      <c r="Y35" s="128">
        <f t="shared" si="42"/>
        <v>25030.7</v>
      </c>
      <c r="Z35" s="128">
        <f t="shared" si="42"/>
        <v>38126</v>
      </c>
      <c r="AA35" s="128">
        <f t="shared" si="42"/>
        <v>39670</v>
      </c>
      <c r="AB35" s="128">
        <f t="shared" si="42"/>
        <v>37520</v>
      </c>
      <c r="AC35" s="128">
        <f t="shared" si="42"/>
        <v>38720</v>
      </c>
      <c r="AD35" s="128">
        <f t="shared" si="42"/>
        <v>40870</v>
      </c>
      <c r="AE35" s="128">
        <f t="shared" si="42"/>
        <v>42220</v>
      </c>
      <c r="AF35" s="253"/>
      <c r="AG35" s="252" t="str">
        <f>AG29</f>
        <v>Suma 2027 až 2031</v>
      </c>
      <c r="AH35" s="140">
        <f t="shared" si="35"/>
        <v>90.420478474701568</v>
      </c>
      <c r="AI35" s="140">
        <f t="shared" si="35"/>
        <v>106.91331693067383</v>
      </c>
      <c r="AJ35" s="31">
        <f t="shared" si="35"/>
        <v>100.634546797374</v>
      </c>
      <c r="AK35" s="31">
        <f t="shared" si="28"/>
        <v>152.31695477953073</v>
      </c>
      <c r="AL35" s="31">
        <f t="shared" si="29"/>
        <v>104.04972984315167</v>
      </c>
      <c r="AM35" s="31">
        <f t="shared" si="30"/>
        <v>94.580287370809174</v>
      </c>
      <c r="AN35" s="31">
        <f t="shared" si="31"/>
        <v>103.19829424307036</v>
      </c>
      <c r="AO35" s="31">
        <f t="shared" si="23"/>
        <v>105.55268595041323</v>
      </c>
      <c r="AP35" s="31">
        <f t="shared" si="24"/>
        <v>103.30315634940055</v>
      </c>
      <c r="AQ35" s="183">
        <f t="shared" si="40"/>
        <v>-2464.739999999998</v>
      </c>
      <c r="AR35" s="513">
        <f t="shared" si="40"/>
        <v>1608.3499999999985</v>
      </c>
      <c r="AS35" s="183">
        <f t="shared" si="40"/>
        <v>157.83000000000175</v>
      </c>
      <c r="AT35" s="183">
        <f t="shared" si="40"/>
        <v>13095.3</v>
      </c>
      <c r="AU35" s="183">
        <f t="shared" si="40"/>
        <v>1544</v>
      </c>
      <c r="AV35" s="183">
        <f t="shared" si="40"/>
        <v>-2150</v>
      </c>
      <c r="AW35" s="183">
        <f t="shared" si="40"/>
        <v>1200</v>
      </c>
      <c r="AX35" s="183">
        <f t="shared" si="40"/>
        <v>2150</v>
      </c>
      <c r="AY35" s="183">
        <f t="shared" si="40"/>
        <v>1350</v>
      </c>
    </row>
    <row r="36" spans="1:51" s="5" customFormat="1" ht="16" thickBot="1" x14ac:dyDescent="0.4">
      <c r="A36" s="402">
        <v>34</v>
      </c>
      <c r="B36" s="403" t="s">
        <v>35</v>
      </c>
      <c r="C36" s="404" t="s">
        <v>195</v>
      </c>
      <c r="D36" s="405">
        <f t="shared" ref="D36:R36" si="43">D34-D35</f>
        <v>-5353.0300000000007</v>
      </c>
      <c r="E36" s="405">
        <f t="shared" si="43"/>
        <v>1520.25</v>
      </c>
      <c r="F36" s="405">
        <f t="shared" si="43"/>
        <v>829.51000000000022</v>
      </c>
      <c r="G36" s="405">
        <f t="shared" si="43"/>
        <v>2573.3700000000008</v>
      </c>
      <c r="H36" s="405">
        <f t="shared" si="43"/>
        <v>3126.59</v>
      </c>
      <c r="I36" s="405">
        <f t="shared" si="43"/>
        <v>-18.219999999999345</v>
      </c>
      <c r="J36" s="405">
        <f t="shared" si="43"/>
        <v>1887.2599999999984</v>
      </c>
      <c r="K36" s="405">
        <f t="shared" si="43"/>
        <v>2289.9299999999985</v>
      </c>
      <c r="L36" s="405">
        <f t="shared" si="43"/>
        <v>2976.6999999999989</v>
      </c>
      <c r="M36" s="405">
        <f t="shared" si="43"/>
        <v>5131.840000000002</v>
      </c>
      <c r="N36" s="405">
        <f t="shared" si="43"/>
        <v>9297.2999999999993</v>
      </c>
      <c r="O36" s="405">
        <f t="shared" si="43"/>
        <v>14484.88</v>
      </c>
      <c r="P36" s="405">
        <f t="shared" si="43"/>
        <v>6161.74</v>
      </c>
      <c r="Q36" s="405">
        <f t="shared" si="43"/>
        <v>7455.5499999999993</v>
      </c>
      <c r="R36" s="405">
        <f t="shared" si="43"/>
        <v>7377.9499999999989</v>
      </c>
      <c r="S36" s="405">
        <f>S34-S35</f>
        <v>11490.720000000001</v>
      </c>
      <c r="T36" s="405">
        <f t="shared" ref="T36:AE36" si="44">T34-T35</f>
        <v>7655.0400000000009</v>
      </c>
      <c r="U36" s="405">
        <f t="shared" si="44"/>
        <v>9777.7999999999993</v>
      </c>
      <c r="V36" s="405">
        <f t="shared" si="44"/>
        <v>6237.4800000000032</v>
      </c>
      <c r="W36" s="405">
        <f t="shared" si="44"/>
        <v>14686.039999999997</v>
      </c>
      <c r="X36" s="405">
        <f t="shared" si="44"/>
        <v>13255.390000000003</v>
      </c>
      <c r="Y36" s="405">
        <f t="shared" si="44"/>
        <v>14143.109999999997</v>
      </c>
      <c r="Z36" s="405">
        <f t="shared" si="44"/>
        <v>9273</v>
      </c>
      <c r="AA36" s="405">
        <f t="shared" si="44"/>
        <v>10000</v>
      </c>
      <c r="AB36" s="405">
        <f t="shared" si="44"/>
        <v>15000</v>
      </c>
      <c r="AC36" s="405">
        <f t="shared" si="44"/>
        <v>17000</v>
      </c>
      <c r="AD36" s="405">
        <f t="shared" si="44"/>
        <v>18000</v>
      </c>
      <c r="AE36" s="405">
        <f t="shared" si="44"/>
        <v>20000</v>
      </c>
      <c r="AF36" s="367"/>
      <c r="AG36" s="143">
        <f>SUM(AA36:AE36)</f>
        <v>80000</v>
      </c>
      <c r="AH36" s="141">
        <f t="shared" si="35"/>
        <v>235.44829001455702</v>
      </c>
      <c r="AI36" s="141">
        <f t="shared" si="35"/>
        <v>90.258435902394424</v>
      </c>
      <c r="AJ36" s="32">
        <f t="shared" si="35"/>
        <v>106.69704927580399</v>
      </c>
      <c r="AK36" s="32">
        <f t="shared" si="28"/>
        <v>65.565494435099509</v>
      </c>
      <c r="AL36" s="32">
        <f t="shared" si="29"/>
        <v>107.83996549121105</v>
      </c>
      <c r="AM36" s="32">
        <f t="shared" si="30"/>
        <v>150</v>
      </c>
      <c r="AN36" s="32">
        <f t="shared" si="31"/>
        <v>113.33333333333333</v>
      </c>
      <c r="AO36" s="32">
        <f t="shared" si="23"/>
        <v>105.88235294117648</v>
      </c>
      <c r="AP36" s="32">
        <f t="shared" si="24"/>
        <v>111.11111111111111</v>
      </c>
      <c r="AQ36" s="183">
        <f t="shared" ref="AQ36:AY36" si="45">AQ34-AQ35</f>
        <v>8448.559999999994</v>
      </c>
      <c r="AR36" s="513">
        <f t="shared" si="45"/>
        <v>-1430.6499999999942</v>
      </c>
      <c r="AS36" s="183">
        <f t="shared" si="45"/>
        <v>887.71999999999389</v>
      </c>
      <c r="AT36" s="183">
        <f t="shared" si="45"/>
        <v>-4870.1099999999969</v>
      </c>
      <c r="AU36" s="183">
        <f t="shared" si="45"/>
        <v>727</v>
      </c>
      <c r="AV36" s="183">
        <f t="shared" si="45"/>
        <v>5000</v>
      </c>
      <c r="AW36" s="183">
        <f t="shared" si="45"/>
        <v>2000</v>
      </c>
      <c r="AX36" s="183">
        <f t="shared" si="45"/>
        <v>1000</v>
      </c>
      <c r="AY36" s="183">
        <f t="shared" si="45"/>
        <v>2000</v>
      </c>
    </row>
    <row r="37" spans="1:51" s="75" customFormat="1" ht="15.5" x14ac:dyDescent="0.35">
      <c r="A37" s="134">
        <v>35</v>
      </c>
      <c r="B37" s="152">
        <v>8123</v>
      </c>
      <c r="C37" s="135" t="s">
        <v>60</v>
      </c>
      <c r="D37" s="136"/>
      <c r="E37" s="136"/>
      <c r="F37" s="136"/>
      <c r="G37" s="136">
        <f>ZDROJ!H33</f>
        <v>0</v>
      </c>
      <c r="H37" s="136">
        <f>ZDROJ!I33</f>
        <v>0</v>
      </c>
      <c r="I37" s="136">
        <f>ZDROJ!J33</f>
        <v>0</v>
      </c>
      <c r="J37" s="136">
        <f>ZDROJ!K33</f>
        <v>0</v>
      </c>
      <c r="K37" s="136">
        <f>ZDROJ!L33</f>
        <v>0</v>
      </c>
      <c r="L37" s="136">
        <f>ZDROJ!M33</f>
        <v>0</v>
      </c>
      <c r="M37" s="136">
        <f>ZDROJ!N33</f>
        <v>0</v>
      </c>
      <c r="N37" s="136">
        <f>ZDROJ!O33</f>
        <v>0</v>
      </c>
      <c r="O37" s="136">
        <f>ZDROJ!P33</f>
        <v>0</v>
      </c>
      <c r="P37" s="136">
        <f>ZDROJ!Q33</f>
        <v>0</v>
      </c>
      <c r="Q37" s="136">
        <f>ZDROJ!R33</f>
        <v>0</v>
      </c>
      <c r="R37" s="136">
        <f>ZDROJ!S33</f>
        <v>0</v>
      </c>
      <c r="S37" s="136">
        <f>ZDROJ!T33</f>
        <v>0</v>
      </c>
      <c r="T37" s="136">
        <f>ZDROJ!U33</f>
        <v>0</v>
      </c>
      <c r="U37" s="136">
        <f>ZDROJ!V33</f>
        <v>0</v>
      </c>
      <c r="V37" s="136">
        <f>ZDROJ!W33</f>
        <v>0</v>
      </c>
      <c r="W37" s="136">
        <f>ZDROJ!X33</f>
        <v>0</v>
      </c>
      <c r="X37" s="136">
        <f>ZDROJ!Y33</f>
        <v>16709.490000000002</v>
      </c>
      <c r="Y37" s="136">
        <f>ZDROJ!Z33</f>
        <v>0</v>
      </c>
      <c r="Z37" s="136">
        <f>ZDROJ!AD37</f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8"/>
      <c r="AG37" s="143">
        <f>SUM(AA37:AE37)</f>
        <v>0</v>
      </c>
      <c r="AH37" s="140"/>
      <c r="AI37" s="140"/>
      <c r="AJ37" s="31"/>
      <c r="AK37" s="31"/>
      <c r="AL37" s="31"/>
      <c r="AM37" s="31"/>
      <c r="AN37" s="31"/>
      <c r="AO37" s="31"/>
      <c r="AP37" s="31"/>
      <c r="AR37" s="514"/>
    </row>
    <row r="38" spans="1:51" s="75" customFormat="1" ht="25.5" customHeight="1" thickBot="1" x14ac:dyDescent="0.4">
      <c r="A38" s="137">
        <v>36</v>
      </c>
      <c r="B38" s="153">
        <v>8124</v>
      </c>
      <c r="C38" s="138" t="s">
        <v>193</v>
      </c>
      <c r="D38" s="139"/>
      <c r="E38" s="139"/>
      <c r="F38" s="139"/>
      <c r="G38" s="139">
        <f>ABS(ZDROJ!H34)</f>
        <v>0</v>
      </c>
      <c r="H38" s="139">
        <f>ABS(ZDROJ!I34)</f>
        <v>0</v>
      </c>
      <c r="I38" s="139">
        <f>ABS(ZDROJ!J34)</f>
        <v>0</v>
      </c>
      <c r="J38" s="139">
        <f>ABS(ZDROJ!K34)</f>
        <v>0</v>
      </c>
      <c r="K38" s="139">
        <f>ABS(ZDROJ!L34)</f>
        <v>0</v>
      </c>
      <c r="L38" s="139">
        <f>ABS(ZDROJ!M34)</f>
        <v>0</v>
      </c>
      <c r="M38" s="139">
        <f>ABS(ZDROJ!N34)</f>
        <v>0</v>
      </c>
      <c r="N38" s="139">
        <f>ABS(ZDROJ!O34)</f>
        <v>0</v>
      </c>
      <c r="O38" s="139">
        <f>ABS(ZDROJ!P34)</f>
        <v>0</v>
      </c>
      <c r="P38" s="139">
        <f>ABS(ZDROJ!Q34)</f>
        <v>0</v>
      </c>
      <c r="Q38" s="139">
        <f>ABS(ZDROJ!R34)</f>
        <v>0</v>
      </c>
      <c r="R38" s="139">
        <f>ABS(ZDROJ!S34)</f>
        <v>0</v>
      </c>
      <c r="S38" s="139">
        <f>ABS(ZDROJ!T34)</f>
        <v>0</v>
      </c>
      <c r="T38" s="139">
        <f>ABS(ZDROJ!U34)</f>
        <v>0</v>
      </c>
      <c r="U38" s="139">
        <f>ABS(ZDROJ!V34)</f>
        <v>0</v>
      </c>
      <c r="V38" s="139">
        <f>ABS(ZDROJ!W34)</f>
        <v>0</v>
      </c>
      <c r="W38" s="139">
        <f>ABS(ZDROJ!X34)</f>
        <v>0</v>
      </c>
      <c r="X38" s="139">
        <f>ABS(ZDROJ!Y34)</f>
        <v>754.72</v>
      </c>
      <c r="Y38" s="139">
        <f>ABS(ZDROJ!Z34)</f>
        <v>15954.77</v>
      </c>
      <c r="Z38" s="139">
        <f>ZDROJ!AD38</f>
        <v>0</v>
      </c>
      <c r="AA38" s="139">
        <v>0</v>
      </c>
      <c r="AB38" s="139">
        <v>0</v>
      </c>
      <c r="AC38" s="139">
        <v>0</v>
      </c>
      <c r="AD38" s="139">
        <v>0</v>
      </c>
      <c r="AE38" s="139">
        <v>0</v>
      </c>
      <c r="AF38" s="369"/>
      <c r="AG38" s="92">
        <f>SUM(AA38:AF38)</f>
        <v>0</v>
      </c>
      <c r="AH38" s="141"/>
      <c r="AI38" s="141"/>
      <c r="AJ38" s="32"/>
      <c r="AK38" s="32"/>
      <c r="AL38" s="32"/>
      <c r="AM38" s="32"/>
      <c r="AN38" s="32"/>
      <c r="AO38" s="32"/>
      <c r="AP38" s="32"/>
      <c r="AQ38" s="143">
        <f>AG45+Z44+(AE55-Z49)</f>
        <v>208832.72443</v>
      </c>
      <c r="AR38" s="514"/>
    </row>
    <row r="39" spans="1:51" s="5" customFormat="1" ht="13.5" thickBot="1" x14ac:dyDescent="0.4">
      <c r="A39" s="125">
        <v>37</v>
      </c>
      <c r="B39" s="145" t="s">
        <v>37</v>
      </c>
      <c r="C39" s="125" t="s">
        <v>59</v>
      </c>
      <c r="D39" s="126"/>
      <c r="E39" s="126"/>
      <c r="F39" s="126"/>
      <c r="G39" s="126">
        <f t="shared" ref="G39:X39" si="46">G33+G37-G38</f>
        <v>-537.77000000000044</v>
      </c>
      <c r="H39" s="126">
        <f t="shared" si="46"/>
        <v>1926.6000000000004</v>
      </c>
      <c r="I39" s="126">
        <f t="shared" si="46"/>
        <v>6739.9500000000007</v>
      </c>
      <c r="J39" s="126">
        <f t="shared" si="46"/>
        <v>948.86999999999898</v>
      </c>
      <c r="K39" s="126">
        <f t="shared" si="46"/>
        <v>1437.6100000000006</v>
      </c>
      <c r="L39" s="126">
        <f t="shared" si="46"/>
        <v>1225.1000000000004</v>
      </c>
      <c r="M39" s="126">
        <f t="shared" si="46"/>
        <v>2837.2000000000007</v>
      </c>
      <c r="N39" s="126">
        <f t="shared" si="46"/>
        <v>1652.260000000002</v>
      </c>
      <c r="O39" s="126">
        <f t="shared" si="46"/>
        <v>-8739.8799999999974</v>
      </c>
      <c r="P39" s="126">
        <f t="shared" si="46"/>
        <v>5940.630000000001</v>
      </c>
      <c r="Q39" s="126">
        <f t="shared" si="46"/>
        <v>5832.6299999999974</v>
      </c>
      <c r="R39" s="126">
        <f t="shared" si="46"/>
        <v>1242.9399999999987</v>
      </c>
      <c r="S39" s="126">
        <f t="shared" si="46"/>
        <v>20915.120000000003</v>
      </c>
      <c r="T39" s="139">
        <f t="shared" si="46"/>
        <v>-20878.259999999995</v>
      </c>
      <c r="U39" s="139">
        <f t="shared" si="46"/>
        <v>-15551.5</v>
      </c>
      <c r="V39" s="139">
        <f t="shared" si="46"/>
        <v>-751.44999999999709</v>
      </c>
      <c r="W39" s="139">
        <f t="shared" si="46"/>
        <v>6890.6600000000035</v>
      </c>
      <c r="X39" s="139">
        <f t="shared" si="46"/>
        <v>-9645.5899999999911</v>
      </c>
      <c r="Y39" s="139">
        <f t="shared" ref="Y39:AE39" si="47">Y33+Y37-Y38</f>
        <v>1719.2400000000016</v>
      </c>
      <c r="Z39" s="139">
        <f t="shared" si="47"/>
        <v>-3302</v>
      </c>
      <c r="AA39" s="126">
        <f t="shared" si="47"/>
        <v>10000</v>
      </c>
      <c r="AB39" s="126">
        <f t="shared" si="47"/>
        <v>15000</v>
      </c>
      <c r="AC39" s="126">
        <f t="shared" si="47"/>
        <v>17000</v>
      </c>
      <c r="AD39" s="126">
        <f t="shared" si="47"/>
        <v>18000</v>
      </c>
      <c r="AE39" s="126">
        <f t="shared" si="47"/>
        <v>20000</v>
      </c>
      <c r="AF39" s="129"/>
      <c r="AG39" s="130"/>
      <c r="AH39" s="32"/>
      <c r="AI39" s="32"/>
      <c r="AJ39" s="32"/>
      <c r="AK39" s="32"/>
      <c r="AL39" s="32"/>
      <c r="AM39" s="32"/>
      <c r="AN39" s="32"/>
      <c r="AO39" s="32"/>
      <c r="AP39" s="32"/>
      <c r="AR39" s="118"/>
    </row>
    <row r="40" spans="1:51" s="66" customFormat="1" x14ac:dyDescent="0.35">
      <c r="A40" s="60">
        <v>38</v>
      </c>
      <c r="B40" s="146">
        <v>8</v>
      </c>
      <c r="C40" s="60" t="s">
        <v>114</v>
      </c>
      <c r="D40" s="61"/>
      <c r="E40" s="61"/>
      <c r="F40" s="61"/>
      <c r="G40" s="61">
        <f>ZDROJ!H32</f>
        <v>537.74</v>
      </c>
      <c r="H40" s="61">
        <f>ZDROJ!I32</f>
        <v>-1926.58</v>
      </c>
      <c r="I40" s="61">
        <f>ZDROJ!J32</f>
        <v>-6739.93</v>
      </c>
      <c r="J40" s="61">
        <f>ZDROJ!K32</f>
        <v>-948.87</v>
      </c>
      <c r="K40" s="61">
        <f>ZDROJ!L32</f>
        <v>-1437.61</v>
      </c>
      <c r="L40" s="61">
        <f>ZDROJ!M32</f>
        <v>-1225.0899999999999</v>
      </c>
      <c r="M40" s="61">
        <f>ZDROJ!N32</f>
        <v>-2837.2</v>
      </c>
      <c r="N40" s="61">
        <f>ZDROJ!O32</f>
        <v>-1652.26</v>
      </c>
      <c r="O40" s="61">
        <f>ZDROJ!P32</f>
        <v>8739.9</v>
      </c>
      <c r="P40" s="61">
        <f>ZDROJ!Q32</f>
        <v>-5940.62</v>
      </c>
      <c r="Q40" s="61">
        <f>ZDROJ!R32</f>
        <v>-5832.62</v>
      </c>
      <c r="R40" s="61">
        <f>ZDROJ!S32</f>
        <v>-1242.94</v>
      </c>
      <c r="S40" s="61">
        <f>ZDROJ!T32</f>
        <v>-20915.11</v>
      </c>
      <c r="T40" s="61">
        <f>ZDROJ!U32</f>
        <v>20878.25</v>
      </c>
      <c r="U40" s="61">
        <f>ZDROJ!V32</f>
        <v>15551.5</v>
      </c>
      <c r="V40" s="61">
        <f>ZDROJ!W32</f>
        <v>751.45</v>
      </c>
      <c r="W40" s="61">
        <f>ZDROJ!X32</f>
        <v>-6890.66</v>
      </c>
      <c r="X40" s="61">
        <f>ZDROJ!Y32</f>
        <v>25600.36</v>
      </c>
      <c r="Y40" s="61">
        <f>ZDROJ!Z32</f>
        <v>-17673.990000000002</v>
      </c>
      <c r="Z40" s="61">
        <f t="shared" ref="Z40:AE40" si="48">Z37-Z38-Z39</f>
        <v>3302</v>
      </c>
      <c r="AA40" s="61">
        <f t="shared" si="48"/>
        <v>-10000</v>
      </c>
      <c r="AB40" s="61">
        <f t="shared" si="48"/>
        <v>-15000</v>
      </c>
      <c r="AC40" s="61">
        <f t="shared" si="48"/>
        <v>-17000</v>
      </c>
      <c r="AD40" s="61">
        <f t="shared" si="48"/>
        <v>-18000</v>
      </c>
      <c r="AE40" s="61">
        <f t="shared" si="48"/>
        <v>-20000</v>
      </c>
      <c r="AF40" s="62"/>
      <c r="AG40" s="63"/>
      <c r="AH40" s="64"/>
      <c r="AI40" s="64"/>
      <c r="AJ40" s="64"/>
      <c r="AK40" s="64"/>
      <c r="AL40" s="64"/>
      <c r="AM40" s="64"/>
      <c r="AN40" s="64"/>
      <c r="AO40" s="64"/>
      <c r="AP40" s="64"/>
      <c r="AR40" s="65"/>
    </row>
    <row r="41" spans="1:51" s="5" customFormat="1" x14ac:dyDescent="0.35">
      <c r="A41" s="3">
        <v>39</v>
      </c>
      <c r="B41" s="147" t="s">
        <v>38</v>
      </c>
      <c r="C41" s="3" t="s">
        <v>228</v>
      </c>
      <c r="D41" s="4"/>
      <c r="E41" s="4"/>
      <c r="F41" s="4"/>
      <c r="G41" s="4">
        <f>G23+G37</f>
        <v>13215.89</v>
      </c>
      <c r="H41" s="4">
        <f>H23+H37</f>
        <v>11005.91</v>
      </c>
      <c r="I41" s="4">
        <f>I23+I37</f>
        <v>20408.02</v>
      </c>
      <c r="J41" s="4">
        <f>J23+J37</f>
        <v>11900.89</v>
      </c>
      <c r="K41" s="4">
        <f t="shared" ref="K41:X41" si="49">K23+K37</f>
        <v>12286.77</v>
      </c>
      <c r="L41" s="4">
        <f t="shared" si="49"/>
        <v>13079.8</v>
      </c>
      <c r="M41" s="4">
        <f t="shared" si="49"/>
        <v>14808.09</v>
      </c>
      <c r="N41" s="4">
        <f t="shared" si="49"/>
        <v>28851.010000000002</v>
      </c>
      <c r="O41" s="4">
        <f t="shared" si="49"/>
        <v>44063.4</v>
      </c>
      <c r="P41" s="4">
        <f t="shared" si="49"/>
        <v>16825.09</v>
      </c>
      <c r="Q41" s="4">
        <f t="shared" si="49"/>
        <v>25805.25</v>
      </c>
      <c r="R41" s="4">
        <f t="shared" si="49"/>
        <v>25151.78</v>
      </c>
      <c r="S41" s="4">
        <f t="shared" si="49"/>
        <v>50243.87</v>
      </c>
      <c r="T41" s="4">
        <f t="shared" si="49"/>
        <v>101311.76</v>
      </c>
      <c r="U41" s="4">
        <f t="shared" si="49"/>
        <v>41836</v>
      </c>
      <c r="V41" s="4">
        <f t="shared" si="49"/>
        <v>33508.770000000004</v>
      </c>
      <c r="W41" s="4">
        <f t="shared" si="49"/>
        <v>47810.78</v>
      </c>
      <c r="X41" s="4">
        <f t="shared" si="49"/>
        <v>62513.39</v>
      </c>
      <c r="Y41" s="4">
        <f t="shared" ref="Y41:AE41" si="50">Y23+Y37</f>
        <v>55302.1</v>
      </c>
      <c r="Z41" s="4">
        <f t="shared" si="50"/>
        <v>53068</v>
      </c>
      <c r="AA41" s="4">
        <f t="shared" si="50"/>
        <v>49670</v>
      </c>
      <c r="AB41" s="4">
        <f t="shared" si="50"/>
        <v>52520</v>
      </c>
      <c r="AC41" s="4">
        <f t="shared" si="50"/>
        <v>55720</v>
      </c>
      <c r="AD41" s="4">
        <f t="shared" si="50"/>
        <v>58870</v>
      </c>
      <c r="AE41" s="4">
        <f t="shared" si="50"/>
        <v>62220</v>
      </c>
      <c r="AF41" s="12"/>
      <c r="AG41" s="31"/>
      <c r="AH41" s="31">
        <f t="shared" ref="AH41:AN42" si="51">W41/V41*100</f>
        <v>142.68139355756716</v>
      </c>
      <c r="AI41" s="31">
        <f t="shared" si="51"/>
        <v>130.75166311865232</v>
      </c>
      <c r="AJ41" s="31">
        <f t="shared" si="51"/>
        <v>88.464407385361753</v>
      </c>
      <c r="AK41" s="31">
        <f t="shared" si="51"/>
        <v>95.960189576887672</v>
      </c>
      <c r="AL41" s="31">
        <f t="shared" si="51"/>
        <v>93.596894550388171</v>
      </c>
      <c r="AM41" s="31">
        <f t="shared" si="51"/>
        <v>105.73786994161465</v>
      </c>
      <c r="AN41" s="31">
        <f t="shared" si="51"/>
        <v>106.0929169840061</v>
      </c>
      <c r="AO41" s="31">
        <f>AD41/AC41*100</f>
        <v>105.6532663316583</v>
      </c>
      <c r="AP41" s="31">
        <f>AE41/AD41*100</f>
        <v>105.69050450144385</v>
      </c>
      <c r="AR41" s="118"/>
    </row>
    <row r="42" spans="1:51" s="5" customFormat="1" x14ac:dyDescent="0.35">
      <c r="A42" s="3">
        <v>40</v>
      </c>
      <c r="B42" s="147" t="s">
        <v>168</v>
      </c>
      <c r="C42" s="3" t="s">
        <v>229</v>
      </c>
      <c r="D42" s="4"/>
      <c r="E42" s="4"/>
      <c r="F42" s="4"/>
      <c r="G42" s="4">
        <f>G32+G38+G39</f>
        <v>13215.89</v>
      </c>
      <c r="H42" s="4">
        <f>H32+H38+H39</f>
        <v>11005.91</v>
      </c>
      <c r="I42" s="4">
        <f>I32+I38+I39</f>
        <v>20408.02</v>
      </c>
      <c r="J42" s="4">
        <f>J32+J38+J39</f>
        <v>11900.89</v>
      </c>
      <c r="K42" s="4">
        <f t="shared" ref="K42:X42" si="52">K32+K38+K39</f>
        <v>12286.77</v>
      </c>
      <c r="L42" s="4">
        <f t="shared" si="52"/>
        <v>13079.8</v>
      </c>
      <c r="M42" s="4">
        <f t="shared" si="52"/>
        <v>14808.09</v>
      </c>
      <c r="N42" s="4">
        <f t="shared" si="52"/>
        <v>28851.010000000002</v>
      </c>
      <c r="O42" s="4">
        <f t="shared" si="52"/>
        <v>44063.4</v>
      </c>
      <c r="P42" s="4">
        <f t="shared" si="52"/>
        <v>16825.09</v>
      </c>
      <c r="Q42" s="4">
        <f t="shared" si="52"/>
        <v>25805.25</v>
      </c>
      <c r="R42" s="4">
        <f t="shared" si="52"/>
        <v>25151.78</v>
      </c>
      <c r="S42" s="4">
        <f t="shared" si="52"/>
        <v>50243.87</v>
      </c>
      <c r="T42" s="4">
        <f t="shared" si="52"/>
        <v>101311.76</v>
      </c>
      <c r="U42" s="4">
        <f t="shared" si="52"/>
        <v>41836</v>
      </c>
      <c r="V42" s="4">
        <f t="shared" si="52"/>
        <v>33508.770000000004</v>
      </c>
      <c r="W42" s="4">
        <f t="shared" si="52"/>
        <v>47810.78</v>
      </c>
      <c r="X42" s="4">
        <f t="shared" si="52"/>
        <v>62513.390000000007</v>
      </c>
      <c r="Y42" s="4">
        <f t="shared" ref="Y42:AE42" si="53">Y32+Y38+Y39</f>
        <v>55302.100000000006</v>
      </c>
      <c r="Z42" s="4">
        <f t="shared" si="53"/>
        <v>53068</v>
      </c>
      <c r="AA42" s="4">
        <f t="shared" si="53"/>
        <v>49670</v>
      </c>
      <c r="AB42" s="4">
        <f t="shared" si="53"/>
        <v>52520</v>
      </c>
      <c r="AC42" s="4">
        <f t="shared" si="53"/>
        <v>55720</v>
      </c>
      <c r="AD42" s="4">
        <f t="shared" si="53"/>
        <v>58870</v>
      </c>
      <c r="AE42" s="4">
        <f t="shared" si="53"/>
        <v>62220</v>
      </c>
      <c r="AF42" s="12"/>
      <c r="AG42" s="31"/>
      <c r="AH42" s="32">
        <f t="shared" si="51"/>
        <v>142.68139355756716</v>
      </c>
      <c r="AI42" s="32">
        <f t="shared" si="51"/>
        <v>130.75166311865235</v>
      </c>
      <c r="AJ42" s="32">
        <f t="shared" si="51"/>
        <v>88.464407385361767</v>
      </c>
      <c r="AK42" s="32">
        <f t="shared" si="51"/>
        <v>95.960189576887672</v>
      </c>
      <c r="AL42" s="32">
        <f t="shared" si="51"/>
        <v>93.596894550388171</v>
      </c>
      <c r="AM42" s="32">
        <f t="shared" si="51"/>
        <v>105.73786994161465</v>
      </c>
      <c r="AN42" s="32">
        <f t="shared" si="51"/>
        <v>106.0929169840061</v>
      </c>
      <c r="AO42" s="32">
        <f>AD42/AC42*100</f>
        <v>105.6532663316583</v>
      </c>
      <c r="AP42" s="32">
        <f>AE42/AD42*100</f>
        <v>105.69050450144385</v>
      </c>
      <c r="AR42" s="118"/>
    </row>
    <row r="43" spans="1:51" s="5" customFormat="1" ht="13.5" thickBot="1" x14ac:dyDescent="0.4">
      <c r="A43" s="14">
        <v>41</v>
      </c>
      <c r="B43" s="154" t="s">
        <v>133</v>
      </c>
      <c r="C43" s="14" t="s">
        <v>115</v>
      </c>
      <c r="D43" s="78"/>
      <c r="E43" s="78"/>
      <c r="F43" s="78"/>
      <c r="G43" s="78">
        <f t="shared" ref="G43:X43" si="54">G41-G42</f>
        <v>0</v>
      </c>
      <c r="H43" s="78">
        <f t="shared" si="54"/>
        <v>0</v>
      </c>
      <c r="I43" s="78">
        <f t="shared" si="54"/>
        <v>0</v>
      </c>
      <c r="J43" s="78">
        <f t="shared" si="54"/>
        <v>0</v>
      </c>
      <c r="K43" s="78">
        <f t="shared" si="54"/>
        <v>0</v>
      </c>
      <c r="L43" s="78">
        <f t="shared" si="54"/>
        <v>0</v>
      </c>
      <c r="M43" s="78">
        <f t="shared" si="54"/>
        <v>0</v>
      </c>
      <c r="N43" s="78">
        <f t="shared" si="54"/>
        <v>0</v>
      </c>
      <c r="O43" s="78">
        <f t="shared" si="54"/>
        <v>0</v>
      </c>
      <c r="P43" s="78">
        <f t="shared" si="54"/>
        <v>0</v>
      </c>
      <c r="Q43" s="78">
        <f t="shared" si="54"/>
        <v>0</v>
      </c>
      <c r="R43" s="78">
        <f t="shared" si="54"/>
        <v>0</v>
      </c>
      <c r="S43" s="78">
        <f t="shared" si="54"/>
        <v>0</v>
      </c>
      <c r="T43" s="78">
        <f t="shared" si="54"/>
        <v>0</v>
      </c>
      <c r="U43" s="78">
        <f t="shared" si="54"/>
        <v>0</v>
      </c>
      <c r="V43" s="78">
        <f t="shared" si="54"/>
        <v>0</v>
      </c>
      <c r="W43" s="78">
        <f t="shared" si="54"/>
        <v>0</v>
      </c>
      <c r="X43" s="78">
        <f t="shared" si="54"/>
        <v>0</v>
      </c>
      <c r="Y43" s="78">
        <f t="shared" ref="Y43:AE43" si="55">Y41-Y42</f>
        <v>0</v>
      </c>
      <c r="Z43" s="78">
        <f t="shared" si="55"/>
        <v>0</v>
      </c>
      <c r="AA43" s="78">
        <f t="shared" si="55"/>
        <v>0</v>
      </c>
      <c r="AB43" s="78">
        <f t="shared" si="55"/>
        <v>0</v>
      </c>
      <c r="AC43" s="78">
        <f t="shared" si="55"/>
        <v>0</v>
      </c>
      <c r="AD43" s="78">
        <f t="shared" si="55"/>
        <v>0</v>
      </c>
      <c r="AE43" s="78">
        <f t="shared" si="55"/>
        <v>0</v>
      </c>
      <c r="AF43" s="15"/>
      <c r="AG43" s="13"/>
      <c r="AH43" s="32"/>
      <c r="AI43" s="32"/>
      <c r="AJ43" s="32"/>
      <c r="AK43" s="32"/>
      <c r="AL43" s="32"/>
      <c r="AM43" s="32"/>
      <c r="AN43" s="32"/>
      <c r="AO43" s="32"/>
      <c r="AP43" s="32"/>
      <c r="AR43" s="118"/>
    </row>
    <row r="44" spans="1:51" s="75" customFormat="1" ht="26.5" thickBot="1" x14ac:dyDescent="0.35">
      <c r="A44" s="99">
        <v>42</v>
      </c>
      <c r="B44" s="155"/>
      <c r="C44" s="99" t="str">
        <f>ZDROJ!A36</f>
        <v>Krátkodobý finanční majetek:</v>
      </c>
      <c r="D44" s="101"/>
      <c r="E44" s="101"/>
      <c r="F44" s="101"/>
      <c r="G44" s="101">
        <f>ZDROJ!H36</f>
        <v>6084.13</v>
      </c>
      <c r="H44" s="101">
        <f>ZDROJ!I36</f>
        <v>8045.57</v>
      </c>
      <c r="I44" s="101">
        <f>ZDROJ!J36</f>
        <v>14856.16</v>
      </c>
      <c r="J44" s="101">
        <f>ZDROJ!K36</f>
        <v>15783.4</v>
      </c>
      <c r="K44" s="101">
        <f>ZDROJ!L36</f>
        <v>17191</v>
      </c>
      <c r="L44" s="101">
        <f>ZDROJ!M36</f>
        <v>18473.39</v>
      </c>
      <c r="M44" s="101">
        <f>ZDROJ!N36</f>
        <v>22564.251800000002</v>
      </c>
      <c r="N44" s="101">
        <f>ZDROJ!O36</f>
        <v>23830.419449999998</v>
      </c>
      <c r="O44" s="101">
        <f>ZDROJ!P36</f>
        <v>15374.77824</v>
      </c>
      <c r="P44" s="101">
        <f>ZDROJ!Q36</f>
        <v>20688.119190000001</v>
      </c>
      <c r="Q44" s="101">
        <f>ZDROJ!R36</f>
        <v>26077.906429999999</v>
      </c>
      <c r="R44" s="101">
        <f>ZDROJ!S36</f>
        <v>28284.134289999998</v>
      </c>
      <c r="S44" s="101">
        <f>ZDROJ!T36</f>
        <v>49917.503960000002</v>
      </c>
      <c r="T44" s="101">
        <f>ZDROJ!U36</f>
        <v>29917.509959999999</v>
      </c>
      <c r="U44" s="101">
        <f>ZDROJ!V36</f>
        <v>14204.01964</v>
      </c>
      <c r="V44" s="101">
        <f>ZDROJ!W36</f>
        <v>13180.112949999999</v>
      </c>
      <c r="W44" s="101">
        <f>ZDROJ!X36</f>
        <v>20710.476649999997</v>
      </c>
      <c r="X44" s="101">
        <f>ZDROJ!Y36</f>
        <v>12042.01359</v>
      </c>
      <c r="Y44" s="101">
        <f>ZDROJ!Z36</f>
        <v>12134.72443</v>
      </c>
      <c r="Z44" s="520">
        <f>IF((Y44+Z39)&lt;0,0,Y44+Z39)</f>
        <v>8832.7244300000002</v>
      </c>
      <c r="AA44" s="101">
        <f>Z44+AA39</f>
        <v>18832.724430000002</v>
      </c>
      <c r="AB44" s="101">
        <f t="shared" ref="AB44:AE44" si="56">AA44+AB39</f>
        <v>33832.724430000002</v>
      </c>
      <c r="AC44" s="101">
        <f t="shared" si="56"/>
        <v>50832.724430000002</v>
      </c>
      <c r="AD44" s="101">
        <f t="shared" si="56"/>
        <v>68832.724430000002</v>
      </c>
      <c r="AE44" s="101">
        <f t="shared" si="56"/>
        <v>88832.724430000002</v>
      </c>
      <c r="AF44" s="251"/>
      <c r="AG44" s="252" t="str">
        <f>AG29</f>
        <v>Suma 2027 až 2031</v>
      </c>
      <c r="AH44" s="32"/>
      <c r="AI44" s="32"/>
      <c r="AJ44" s="32"/>
      <c r="AK44" s="32"/>
      <c r="AL44" s="32"/>
      <c r="AM44" s="32"/>
      <c r="AN44" s="32"/>
      <c r="AO44" s="32"/>
      <c r="AP44" s="32"/>
      <c r="AR44" s="514"/>
    </row>
    <row r="45" spans="1:51" s="5" customFormat="1" ht="16" thickBot="1" x14ac:dyDescent="0.4">
      <c r="A45" s="107">
        <v>43</v>
      </c>
      <c r="B45" s="150" t="s">
        <v>42</v>
      </c>
      <c r="C45" s="109" t="s">
        <v>171</v>
      </c>
      <c r="D45" s="106"/>
      <c r="E45" s="106"/>
      <c r="F45" s="106"/>
      <c r="G45" s="106">
        <f t="shared" ref="G45:X45" si="57">G36-G38</f>
        <v>2573.3700000000008</v>
      </c>
      <c r="H45" s="106">
        <f t="shared" si="57"/>
        <v>3126.59</v>
      </c>
      <c r="I45" s="106">
        <f t="shared" si="57"/>
        <v>-18.219999999999345</v>
      </c>
      <c r="J45" s="106">
        <f t="shared" si="57"/>
        <v>1887.2599999999984</v>
      </c>
      <c r="K45" s="106">
        <f t="shared" si="57"/>
        <v>2289.9299999999985</v>
      </c>
      <c r="L45" s="106">
        <f t="shared" si="57"/>
        <v>2976.6999999999989</v>
      </c>
      <c r="M45" s="106">
        <f t="shared" si="57"/>
        <v>5131.840000000002</v>
      </c>
      <c r="N45" s="106">
        <f t="shared" si="57"/>
        <v>9297.2999999999993</v>
      </c>
      <c r="O45" s="106">
        <f t="shared" si="57"/>
        <v>14484.88</v>
      </c>
      <c r="P45" s="106">
        <f t="shared" si="57"/>
        <v>6161.74</v>
      </c>
      <c r="Q45" s="106">
        <f t="shared" si="57"/>
        <v>7455.5499999999993</v>
      </c>
      <c r="R45" s="106">
        <f t="shared" si="57"/>
        <v>7377.9499999999989</v>
      </c>
      <c r="S45" s="106">
        <f t="shared" si="57"/>
        <v>11490.720000000001</v>
      </c>
      <c r="T45" s="106">
        <f t="shared" si="57"/>
        <v>7655.0400000000009</v>
      </c>
      <c r="U45" s="106">
        <f t="shared" si="57"/>
        <v>9777.7999999999993</v>
      </c>
      <c r="V45" s="106">
        <f t="shared" si="57"/>
        <v>6237.4800000000032</v>
      </c>
      <c r="W45" s="106">
        <f t="shared" si="57"/>
        <v>14686.039999999997</v>
      </c>
      <c r="X45" s="106">
        <f t="shared" si="57"/>
        <v>12500.670000000004</v>
      </c>
      <c r="Y45" s="106">
        <f t="shared" ref="Y45:AE45" si="58">Y36-Y38</f>
        <v>-1811.6600000000035</v>
      </c>
      <c r="Z45" s="106">
        <f t="shared" si="58"/>
        <v>9273</v>
      </c>
      <c r="AA45" s="503">
        <f t="shared" si="58"/>
        <v>10000</v>
      </c>
      <c r="AB45" s="503">
        <f t="shared" si="58"/>
        <v>15000</v>
      </c>
      <c r="AC45" s="503">
        <f t="shared" si="58"/>
        <v>17000</v>
      </c>
      <c r="AD45" s="503">
        <f t="shared" si="58"/>
        <v>18000</v>
      </c>
      <c r="AE45" s="503">
        <f t="shared" si="58"/>
        <v>20000</v>
      </c>
      <c r="AF45" s="110"/>
      <c r="AG45" s="501">
        <f>SUM(AA45:AE45)</f>
        <v>80000</v>
      </c>
      <c r="AH45" s="31">
        <f t="shared" ref="AH45:AN46" si="59">W45/V45*100</f>
        <v>235.44829001455702</v>
      </c>
      <c r="AI45" s="31">
        <f t="shared" si="59"/>
        <v>85.119405912009</v>
      </c>
      <c r="AJ45" s="31">
        <f t="shared" si="59"/>
        <v>-14.492503201828406</v>
      </c>
      <c r="AK45" s="31">
        <f t="shared" si="59"/>
        <v>-511.85100957133136</v>
      </c>
      <c r="AL45" s="31">
        <f t="shared" si="59"/>
        <v>107.83996549121105</v>
      </c>
      <c r="AM45" s="31">
        <f t="shared" si="59"/>
        <v>150</v>
      </c>
      <c r="AN45" s="31">
        <f t="shared" si="59"/>
        <v>113.33333333333333</v>
      </c>
      <c r="AO45" s="31">
        <f>AD45/AC45*100</f>
        <v>105.88235294117648</v>
      </c>
      <c r="AP45" s="31">
        <f>AE45/AD45*100</f>
        <v>111.11111111111111</v>
      </c>
      <c r="AR45" s="118"/>
    </row>
    <row r="46" spans="1:51" s="5" customFormat="1" ht="23" x14ac:dyDescent="0.35">
      <c r="A46" s="125">
        <v>44</v>
      </c>
      <c r="B46" s="145" t="s">
        <v>136</v>
      </c>
      <c r="C46" s="125" t="s">
        <v>44</v>
      </c>
      <c r="D46" s="126"/>
      <c r="E46" s="126"/>
      <c r="F46" s="126"/>
      <c r="G46" s="126">
        <f t="shared" ref="G46:X46" si="60">G3+G13+G22</f>
        <v>10181.98</v>
      </c>
      <c r="H46" s="126">
        <f t="shared" si="60"/>
        <v>10012.230000000001</v>
      </c>
      <c r="I46" s="126">
        <f t="shared" si="60"/>
        <v>9480.76</v>
      </c>
      <c r="J46" s="126">
        <f t="shared" si="60"/>
        <v>9861.8299999999981</v>
      </c>
      <c r="K46" s="126">
        <f t="shared" si="60"/>
        <v>10164.929999999998</v>
      </c>
      <c r="L46" s="126">
        <f t="shared" si="60"/>
        <v>10408.33</v>
      </c>
      <c r="M46" s="126">
        <f t="shared" si="60"/>
        <v>13315.61</v>
      </c>
      <c r="N46" s="126">
        <f t="shared" si="60"/>
        <v>14488.47</v>
      </c>
      <c r="O46" s="126">
        <f t="shared" si="60"/>
        <v>15589.33</v>
      </c>
      <c r="P46" s="126">
        <f t="shared" si="60"/>
        <v>16093.02</v>
      </c>
      <c r="Q46" s="126">
        <f t="shared" si="60"/>
        <v>18048.189999999999</v>
      </c>
      <c r="R46" s="126">
        <f t="shared" si="60"/>
        <v>21526.339999999997</v>
      </c>
      <c r="S46" s="126">
        <f t="shared" si="60"/>
        <v>24858.850000000002</v>
      </c>
      <c r="T46" s="126">
        <f t="shared" si="60"/>
        <v>22646.7</v>
      </c>
      <c r="U46" s="126">
        <f t="shared" si="60"/>
        <v>25871.600000000002</v>
      </c>
      <c r="V46" s="126">
        <f t="shared" si="60"/>
        <v>30626.780000000002</v>
      </c>
      <c r="W46" s="126">
        <f t="shared" si="60"/>
        <v>35578.519999999997</v>
      </c>
      <c r="X46" s="126">
        <f t="shared" si="60"/>
        <v>37248.79</v>
      </c>
      <c r="Y46" s="126">
        <f t="shared" ref="Y46:AE46" si="61">Y3+Y13+Y22</f>
        <v>37336.92</v>
      </c>
      <c r="Z46" s="126">
        <f t="shared" si="61"/>
        <v>44356</v>
      </c>
      <c r="AA46" s="126">
        <f t="shared" si="61"/>
        <v>47270</v>
      </c>
      <c r="AB46" s="126">
        <f t="shared" si="61"/>
        <v>50120</v>
      </c>
      <c r="AC46" s="126">
        <f t="shared" si="61"/>
        <v>53320</v>
      </c>
      <c r="AD46" s="126">
        <f t="shared" si="61"/>
        <v>56470</v>
      </c>
      <c r="AE46" s="126">
        <f t="shared" si="61"/>
        <v>59820</v>
      </c>
      <c r="AF46" s="129"/>
      <c r="AG46" s="130"/>
      <c r="AH46" s="32">
        <f t="shared" si="59"/>
        <v>116.16800721460106</v>
      </c>
      <c r="AI46" s="32">
        <f t="shared" si="59"/>
        <v>104.69460224877258</v>
      </c>
      <c r="AJ46" s="32">
        <f t="shared" si="59"/>
        <v>100.23659828950149</v>
      </c>
      <c r="AK46" s="32">
        <f t="shared" si="59"/>
        <v>118.7993010671475</v>
      </c>
      <c r="AL46" s="32">
        <f t="shared" si="59"/>
        <v>106.56957345116783</v>
      </c>
      <c r="AM46" s="32">
        <f t="shared" si="59"/>
        <v>106.02919399196107</v>
      </c>
      <c r="AN46" s="32">
        <f t="shared" si="59"/>
        <v>106.38467677573821</v>
      </c>
      <c r="AO46" s="32">
        <f>AD46/AC46*100</f>
        <v>105.90772693173294</v>
      </c>
      <c r="AP46" s="32">
        <f>AE46/AD46*100</f>
        <v>105.93235346201524</v>
      </c>
      <c r="AR46" s="118"/>
    </row>
    <row r="47" spans="1:51" s="5" customFormat="1" ht="34.5" x14ac:dyDescent="0.35">
      <c r="A47" s="3">
        <v>45</v>
      </c>
      <c r="B47" s="147" t="s">
        <v>113</v>
      </c>
      <c r="C47" s="3" t="s">
        <v>52</v>
      </c>
      <c r="D47" s="4"/>
      <c r="E47" s="4"/>
      <c r="F47" s="4"/>
      <c r="G47" s="4">
        <f t="shared" ref="G47:X47" si="62">G38</f>
        <v>0</v>
      </c>
      <c r="H47" s="4">
        <f t="shared" si="62"/>
        <v>0</v>
      </c>
      <c r="I47" s="4">
        <f t="shared" si="62"/>
        <v>0</v>
      </c>
      <c r="J47" s="4">
        <f t="shared" si="62"/>
        <v>0</v>
      </c>
      <c r="K47" s="4">
        <f t="shared" si="62"/>
        <v>0</v>
      </c>
      <c r="L47" s="4">
        <f t="shared" si="62"/>
        <v>0</v>
      </c>
      <c r="M47" s="4">
        <f t="shared" si="62"/>
        <v>0</v>
      </c>
      <c r="N47" s="4">
        <f t="shared" si="62"/>
        <v>0</v>
      </c>
      <c r="O47" s="4">
        <f t="shared" si="62"/>
        <v>0</v>
      </c>
      <c r="P47" s="4">
        <f t="shared" si="62"/>
        <v>0</v>
      </c>
      <c r="Q47" s="4">
        <f t="shared" si="62"/>
        <v>0</v>
      </c>
      <c r="R47" s="4">
        <f t="shared" si="62"/>
        <v>0</v>
      </c>
      <c r="S47" s="4">
        <f t="shared" si="62"/>
        <v>0</v>
      </c>
      <c r="T47" s="4">
        <f t="shared" si="62"/>
        <v>0</v>
      </c>
      <c r="U47" s="4">
        <f t="shared" si="62"/>
        <v>0</v>
      </c>
      <c r="V47" s="4">
        <f t="shared" si="62"/>
        <v>0</v>
      </c>
      <c r="W47" s="4">
        <f t="shared" si="62"/>
        <v>0</v>
      </c>
      <c r="X47" s="4">
        <f t="shared" si="62"/>
        <v>754.72</v>
      </c>
      <c r="Y47" s="4">
        <f t="shared" ref="Y47:AE47" si="63">Y38</f>
        <v>15954.77</v>
      </c>
      <c r="Z47" s="4">
        <f t="shared" si="63"/>
        <v>0</v>
      </c>
      <c r="AA47" s="4">
        <f t="shared" si="63"/>
        <v>0</v>
      </c>
      <c r="AB47" s="4">
        <f t="shared" si="63"/>
        <v>0</v>
      </c>
      <c r="AC47" s="4">
        <f t="shared" si="63"/>
        <v>0</v>
      </c>
      <c r="AD47" s="4">
        <f t="shared" si="63"/>
        <v>0</v>
      </c>
      <c r="AE47" s="4">
        <f t="shared" si="63"/>
        <v>0</v>
      </c>
      <c r="AF47" s="12"/>
      <c r="AG47" s="13"/>
      <c r="AH47" s="13"/>
      <c r="AI47" s="32"/>
      <c r="AJ47" s="32"/>
      <c r="AK47" s="32"/>
      <c r="AL47" s="32"/>
      <c r="AM47" s="32"/>
      <c r="AN47" s="32"/>
      <c r="AO47" s="32"/>
      <c r="AP47" s="32"/>
      <c r="AR47" s="118"/>
    </row>
    <row r="48" spans="1:51" s="5" customFormat="1" x14ac:dyDescent="0.35">
      <c r="A48" s="3">
        <v>46</v>
      </c>
      <c r="B48" s="147" t="s">
        <v>98</v>
      </c>
      <c r="C48" s="3" t="s">
        <v>45</v>
      </c>
      <c r="D48" s="79"/>
      <c r="E48" s="79"/>
      <c r="F48" s="79"/>
      <c r="G48" s="79">
        <f t="shared" ref="G48:AE48" si="64">G47/G46</f>
        <v>0</v>
      </c>
      <c r="H48" s="79">
        <f t="shared" si="64"/>
        <v>0</v>
      </c>
      <c r="I48" s="79">
        <f t="shared" si="64"/>
        <v>0</v>
      </c>
      <c r="J48" s="79">
        <f t="shared" si="64"/>
        <v>0</v>
      </c>
      <c r="K48" s="79">
        <f t="shared" si="64"/>
        <v>0</v>
      </c>
      <c r="L48" s="79">
        <f t="shared" si="64"/>
        <v>0</v>
      </c>
      <c r="M48" s="79">
        <f t="shared" si="64"/>
        <v>0</v>
      </c>
      <c r="N48" s="79">
        <f t="shared" si="64"/>
        <v>0</v>
      </c>
      <c r="O48" s="79">
        <f t="shared" si="64"/>
        <v>0</v>
      </c>
      <c r="P48" s="79">
        <f t="shared" si="64"/>
        <v>0</v>
      </c>
      <c r="Q48" s="79">
        <f t="shared" si="64"/>
        <v>0</v>
      </c>
      <c r="R48" s="79">
        <f t="shared" si="64"/>
        <v>0</v>
      </c>
      <c r="S48" s="79">
        <f t="shared" si="64"/>
        <v>0</v>
      </c>
      <c r="T48" s="79">
        <f t="shared" si="64"/>
        <v>0</v>
      </c>
      <c r="U48" s="79">
        <f t="shared" si="64"/>
        <v>0</v>
      </c>
      <c r="V48" s="79">
        <f t="shared" si="64"/>
        <v>0</v>
      </c>
      <c r="W48" s="79">
        <f t="shared" si="64"/>
        <v>0</v>
      </c>
      <c r="X48" s="79">
        <f t="shared" si="64"/>
        <v>2.0261597759282921E-2</v>
      </c>
      <c r="Y48" s="79">
        <f t="shared" si="64"/>
        <v>0.42731885758118243</v>
      </c>
      <c r="Z48" s="79">
        <f t="shared" si="64"/>
        <v>0</v>
      </c>
      <c r="AA48" s="79">
        <f t="shared" si="64"/>
        <v>0</v>
      </c>
      <c r="AB48" s="79">
        <f t="shared" si="64"/>
        <v>0</v>
      </c>
      <c r="AC48" s="79">
        <f t="shared" si="64"/>
        <v>0</v>
      </c>
      <c r="AD48" s="79">
        <f t="shared" si="64"/>
        <v>0</v>
      </c>
      <c r="AE48" s="79">
        <f t="shared" si="64"/>
        <v>0</v>
      </c>
      <c r="AF48" s="12"/>
      <c r="AG48" s="13"/>
      <c r="AH48" s="13"/>
      <c r="AI48" s="32"/>
      <c r="AJ48" s="32"/>
      <c r="AK48" s="32"/>
      <c r="AL48" s="32"/>
      <c r="AM48" s="32"/>
      <c r="AN48" s="32"/>
      <c r="AO48" s="32"/>
      <c r="AP48" s="32"/>
      <c r="AR48" s="118"/>
    </row>
    <row r="49" spans="1:44" s="75" customFormat="1" x14ac:dyDescent="0.35">
      <c r="A49" s="72">
        <v>47</v>
      </c>
      <c r="B49" s="156" t="s">
        <v>223</v>
      </c>
      <c r="C49" s="72" t="s">
        <v>201</v>
      </c>
      <c r="D49" s="74"/>
      <c r="E49" s="74"/>
      <c r="F49" s="74"/>
      <c r="G49" s="74"/>
      <c r="H49" s="74"/>
      <c r="I49" s="74"/>
      <c r="J49" s="74"/>
      <c r="K49" s="74"/>
      <c r="L49" s="74"/>
      <c r="M49" s="74">
        <v>0</v>
      </c>
      <c r="N49" s="74">
        <v>0</v>
      </c>
      <c r="O49" s="74">
        <v>0</v>
      </c>
      <c r="P49" s="74">
        <v>0</v>
      </c>
      <c r="Q49" s="74">
        <v>0</v>
      </c>
      <c r="R49" s="74">
        <v>0</v>
      </c>
      <c r="S49" s="74">
        <v>0</v>
      </c>
      <c r="T49" s="74">
        <v>0</v>
      </c>
      <c r="U49" s="74">
        <v>0</v>
      </c>
      <c r="V49" s="74">
        <v>0</v>
      </c>
      <c r="W49" s="74">
        <v>0</v>
      </c>
      <c r="X49" s="74">
        <v>15954.768970000001</v>
      </c>
      <c r="Y49" s="74">
        <v>0</v>
      </c>
      <c r="Z49" s="74">
        <f>IF((Y49+Z37-Z38)&lt;0,0,Y49+Z37-Z38)</f>
        <v>0</v>
      </c>
      <c r="AA49" s="74">
        <f>IF((Z49+AA37-AA38)&lt;0,0,Z49+AA37-AA38)</f>
        <v>0</v>
      </c>
      <c r="AB49" s="74">
        <f t="shared" ref="AB49" si="65">IF((AA49+AB37-AB38)&lt;0,0,AA49+AB37-AB38)</f>
        <v>0</v>
      </c>
      <c r="AC49" s="74">
        <f t="shared" ref="AC49" si="66">IF((AB49+AC37-AC38)&lt;0,0,AB49+AC37-AC38)</f>
        <v>0</v>
      </c>
      <c r="AD49" s="74">
        <f t="shared" ref="AD49" si="67">IF((AC49+AD37-AD38)&lt;0,0,AC49+AD37-AD38)</f>
        <v>0</v>
      </c>
      <c r="AE49" s="74">
        <f t="shared" ref="AE49" si="68">IF((AD49+AE37-AE38)&lt;0,0,AD49+AE37-AE38)</f>
        <v>0</v>
      </c>
      <c r="AF49" s="179"/>
      <c r="AG49" s="5"/>
      <c r="AH49" s="5"/>
      <c r="AI49" s="180"/>
      <c r="AJ49" s="180"/>
      <c r="AK49" s="180"/>
      <c r="AL49" s="180"/>
      <c r="AM49" s="180"/>
      <c r="AN49" s="180"/>
      <c r="AO49" s="180"/>
      <c r="AP49" s="180"/>
      <c r="AR49" s="514"/>
    </row>
    <row r="50" spans="1:44" s="75" customFormat="1" ht="13.5" thickBot="1" x14ac:dyDescent="0.35">
      <c r="A50" s="72">
        <v>48</v>
      </c>
      <c r="B50" s="156" t="s">
        <v>224</v>
      </c>
      <c r="C50" s="72" t="s">
        <v>154</v>
      </c>
      <c r="D50" s="74"/>
      <c r="E50" s="74"/>
      <c r="F50" s="74"/>
      <c r="G50" s="74"/>
      <c r="H50" s="74"/>
      <c r="I50" s="74"/>
      <c r="J50" s="74"/>
      <c r="K50" s="74"/>
      <c r="L50" s="74"/>
      <c r="M50" s="74">
        <v>0</v>
      </c>
      <c r="N50" s="74">
        <v>0</v>
      </c>
      <c r="O50" s="74">
        <v>0</v>
      </c>
      <c r="P50" s="74">
        <v>5.0999999999999996</v>
      </c>
      <c r="Q50" s="74">
        <v>5.0999999999999996</v>
      </c>
      <c r="R50" s="74">
        <v>5.0999999999999996</v>
      </c>
      <c r="S50" s="74">
        <v>5.0999999999999996</v>
      </c>
      <c r="T50" s="74">
        <v>5.0999999999999996</v>
      </c>
      <c r="U50" s="74">
        <v>5.0999999999999996</v>
      </c>
      <c r="V50" s="74">
        <v>5.0999999999999996</v>
      </c>
      <c r="W50" s="74">
        <v>5.0999999999999996</v>
      </c>
      <c r="X50" s="74">
        <v>5.0999999999999996</v>
      </c>
      <c r="Y50" s="74">
        <v>5.0999999999999996</v>
      </c>
      <c r="Z50" s="74">
        <f>IF(Y50-Z17&lt;0,0,Y50-Z17)</f>
        <v>5.0999999999999996</v>
      </c>
      <c r="AA50" s="74">
        <f t="shared" ref="AA50" si="69">Z50-AA17</f>
        <v>5.0999999999999996</v>
      </c>
      <c r="AB50" s="74">
        <f t="shared" ref="AB50" si="70">AA50-AB17</f>
        <v>5.0999999999999996</v>
      </c>
      <c r="AC50" s="74">
        <f t="shared" ref="AC50:AE50" si="71">AB50-AC17</f>
        <v>5.0999999999999996</v>
      </c>
      <c r="AD50" s="74">
        <f t="shared" si="71"/>
        <v>5.0999999999999996</v>
      </c>
      <c r="AE50" s="74">
        <f t="shared" si="71"/>
        <v>5.0999999999999996</v>
      </c>
      <c r="AF50" s="5"/>
      <c r="AG50" s="181" t="s">
        <v>46</v>
      </c>
      <c r="AH50" s="371"/>
      <c r="AI50" s="5"/>
      <c r="AJ50" s="5"/>
      <c r="AK50" s="5"/>
      <c r="AL50" s="5"/>
      <c r="AM50" s="5"/>
      <c r="AN50" s="5"/>
      <c r="AO50" s="5"/>
      <c r="AP50" s="5"/>
      <c r="AR50" s="514"/>
    </row>
    <row r="51" spans="1:44" s="75" customFormat="1" ht="26.5" thickBot="1" x14ac:dyDescent="0.35">
      <c r="A51" s="99">
        <v>49</v>
      </c>
      <c r="B51" s="155" t="s">
        <v>225</v>
      </c>
      <c r="C51" s="99" t="s">
        <v>153</v>
      </c>
      <c r="D51" s="101"/>
      <c r="E51" s="101"/>
      <c r="F51" s="101"/>
      <c r="G51" s="101"/>
      <c r="H51" s="101"/>
      <c r="I51" s="101"/>
      <c r="J51" s="101"/>
      <c r="K51" s="101"/>
      <c r="L51" s="101"/>
      <c r="M51" s="101">
        <v>44683.619380000004</v>
      </c>
      <c r="N51" s="101">
        <v>45506.310380000003</v>
      </c>
      <c r="O51" s="101">
        <v>83025.15843000001</v>
      </c>
      <c r="P51" s="101">
        <v>96773.968430000008</v>
      </c>
      <c r="Q51" s="101">
        <v>94656.72643000001</v>
      </c>
      <c r="R51" s="101">
        <v>95332.308090000006</v>
      </c>
      <c r="S51" s="101">
        <v>96090.460090000008</v>
      </c>
      <c r="T51" s="101">
        <v>94323.908670000004</v>
      </c>
      <c r="U51" s="101">
        <v>221237.19227</v>
      </c>
      <c r="V51" s="101">
        <v>243713.90515999999</v>
      </c>
      <c r="W51" s="101">
        <v>246851.93583999999</v>
      </c>
      <c r="X51" s="101">
        <v>252684.20549000002</v>
      </c>
      <c r="Y51" s="101">
        <v>304851.21698999999</v>
      </c>
      <c r="Z51" s="101">
        <f>Y51</f>
        <v>304851.21698999999</v>
      </c>
      <c r="AA51" s="101">
        <f>Z51</f>
        <v>304851.21698999999</v>
      </c>
      <c r="AB51" s="101">
        <f>AA51</f>
        <v>304851.21698999999</v>
      </c>
      <c r="AC51" s="101">
        <f t="shared" ref="AC51:AE51" si="72">AB51</f>
        <v>304851.21698999999</v>
      </c>
      <c r="AD51" s="101">
        <f t="shared" si="72"/>
        <v>304851.21698999999</v>
      </c>
      <c r="AE51" s="101">
        <f t="shared" si="72"/>
        <v>304851.21698999999</v>
      </c>
      <c r="AF51" s="251"/>
      <c r="AG51" s="252" t="str">
        <f>AG29</f>
        <v>Suma 2027 až 2031</v>
      </c>
      <c r="AH51" s="372"/>
      <c r="AI51" s="180"/>
      <c r="AJ51" s="180"/>
      <c r="AK51" s="180"/>
      <c r="AL51" s="180"/>
      <c r="AM51" s="180"/>
      <c r="AN51" s="180"/>
      <c r="AO51" s="180"/>
      <c r="AP51" s="180"/>
      <c r="AR51" s="514"/>
    </row>
    <row r="52" spans="1:44" s="5" customFormat="1" ht="15.5" x14ac:dyDescent="0.35">
      <c r="A52" s="296">
        <v>50</v>
      </c>
      <c r="B52" s="297"/>
      <c r="C52" s="298" t="s">
        <v>156</v>
      </c>
      <c r="D52" s="292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5">
        <v>8000</v>
      </c>
      <c r="AB52" s="295">
        <v>8000</v>
      </c>
      <c r="AC52" s="295">
        <v>8000</v>
      </c>
      <c r="AD52" s="295">
        <v>8000</v>
      </c>
      <c r="AE52" s="295">
        <v>8000</v>
      </c>
      <c r="AF52" s="293"/>
      <c r="AG52" s="294">
        <f>SUM(AA52:AF52)</f>
        <v>40000</v>
      </c>
      <c r="AH52" s="373"/>
      <c r="AR52" s="118"/>
    </row>
    <row r="53" spans="1:44" s="5" customFormat="1" ht="39.5" thickBot="1" x14ac:dyDescent="0.4">
      <c r="A53" s="285">
        <v>51</v>
      </c>
      <c r="B53" s="286" t="s">
        <v>202</v>
      </c>
      <c r="C53" s="287" t="s">
        <v>179</v>
      </c>
      <c r="D53" s="288"/>
      <c r="E53" s="288"/>
      <c r="F53" s="288"/>
      <c r="G53" s="288"/>
      <c r="H53" s="288"/>
      <c r="I53" s="288"/>
      <c r="J53" s="288"/>
      <c r="K53" s="288"/>
      <c r="L53" s="288"/>
      <c r="M53" s="288"/>
      <c r="N53" s="288"/>
      <c r="O53" s="288"/>
      <c r="P53" s="288"/>
      <c r="Q53" s="288"/>
      <c r="R53" s="288"/>
      <c r="S53" s="288"/>
      <c r="T53" s="288"/>
      <c r="U53" s="288"/>
      <c r="V53" s="288"/>
      <c r="W53" s="288"/>
      <c r="X53" s="288"/>
      <c r="Y53" s="288"/>
      <c r="Z53" s="288"/>
      <c r="AA53" s="289">
        <f>AA36-AA52</f>
        <v>2000</v>
      </c>
      <c r="AB53" s="289">
        <f t="shared" ref="AB53:AE53" si="73">AB36-AB52</f>
        <v>7000</v>
      </c>
      <c r="AC53" s="289">
        <f t="shared" si="73"/>
        <v>9000</v>
      </c>
      <c r="AD53" s="289">
        <f t="shared" si="73"/>
        <v>10000</v>
      </c>
      <c r="AE53" s="289">
        <f t="shared" si="73"/>
        <v>12000</v>
      </c>
      <c r="AF53" s="290"/>
      <c r="AG53" s="291">
        <f>SUM(AA53:AE53)</f>
        <v>40000</v>
      </c>
      <c r="AH53" s="370"/>
      <c r="AR53" s="118"/>
    </row>
    <row r="54" spans="1:44" ht="16" customHeight="1" x14ac:dyDescent="0.3">
      <c r="A54" s="241" t="s">
        <v>167</v>
      </c>
      <c r="N54" s="91"/>
      <c r="Z54" s="269" t="s">
        <v>56</v>
      </c>
      <c r="AA54" s="449"/>
      <c r="AB54" s="450"/>
      <c r="AC54" s="450"/>
      <c r="AD54" s="450"/>
      <c r="AE54" s="451"/>
      <c r="AQ54" s="37">
        <f>AVERAGE(AA36:AE36)</f>
        <v>16000</v>
      </c>
    </row>
    <row r="55" spans="1:44" ht="16" thickBot="1" x14ac:dyDescent="0.35">
      <c r="A55" s="241" t="s">
        <v>128</v>
      </c>
      <c r="L55" s="37"/>
      <c r="N55" s="91"/>
      <c r="Q55" s="37"/>
      <c r="Z55" s="270" t="s">
        <v>57</v>
      </c>
      <c r="AA55" s="452"/>
      <c r="AB55" s="453"/>
      <c r="AC55" s="453"/>
      <c r="AD55" s="453"/>
      <c r="AE55" s="454">
        <v>120000</v>
      </c>
      <c r="AF55" s="271">
        <f>AG55*5</f>
        <v>80000</v>
      </c>
      <c r="AG55" s="283">
        <f>AVERAGE(AA36:AE36)</f>
        <v>16000</v>
      </c>
      <c r="AH55" s="283"/>
    </row>
    <row r="56" spans="1:44" ht="13.5" thickBot="1" x14ac:dyDescent="0.35">
      <c r="A56" s="281" t="s">
        <v>259</v>
      </c>
      <c r="B56" s="282"/>
      <c r="C56" s="358"/>
      <c r="X56" s="37"/>
      <c r="Z56" s="245">
        <f>AVERAGE(V23:Y23)</f>
        <v>45606.387500000004</v>
      </c>
      <c r="AA56" s="455">
        <f>$Z$56*0.6</f>
        <v>27363.8325</v>
      </c>
      <c r="AB56" s="456" t="s">
        <v>204</v>
      </c>
      <c r="AC56" s="457"/>
      <c r="AD56" s="457"/>
      <c r="AE56" s="458"/>
    </row>
    <row r="57" spans="1:44" x14ac:dyDescent="0.3">
      <c r="A57" s="241" t="s">
        <v>131</v>
      </c>
      <c r="B57" s="241"/>
    </row>
    <row r="58" spans="1:44" x14ac:dyDescent="0.3">
      <c r="A58" s="241" t="s">
        <v>207</v>
      </c>
      <c r="S58" s="37"/>
    </row>
    <row r="59" spans="1:44" x14ac:dyDescent="0.3">
      <c r="AA59" s="459"/>
      <c r="AF59" s="357">
        <f>AVERAGE(AA36:AE36)</f>
        <v>16000</v>
      </c>
    </row>
    <row r="61" spans="1:44" x14ac:dyDescent="0.3">
      <c r="X61" s="37"/>
      <c r="Y61" s="37"/>
      <c r="Z61" s="37"/>
      <c r="AA61" s="459"/>
      <c r="AB61" s="459"/>
      <c r="AC61" s="459"/>
      <c r="AD61" s="459"/>
      <c r="AE61" s="459"/>
      <c r="AF61" s="357"/>
    </row>
    <row r="63" spans="1:44" x14ac:dyDescent="0.3">
      <c r="B63" s="157">
        <f>10+169+60-23</f>
        <v>216</v>
      </c>
    </row>
  </sheetData>
  <phoneticPr fontId="63" type="noConversion"/>
  <conditionalFormatting sqref="D43:AE43 D52:L53 S53:V53 AA53:AE53 D36:AE36">
    <cfRule type="cellIs" dxfId="43" priority="73" stopIfTrue="1" operator="lessThan">
      <formula>0</formula>
    </cfRule>
  </conditionalFormatting>
  <conditionalFormatting sqref="D43:AE43">
    <cfRule type="cellIs" dxfId="42" priority="72" operator="equal">
      <formula>0</formula>
    </cfRule>
  </conditionalFormatting>
  <conditionalFormatting sqref="D45:AE45 AA53:AE53 D33:AE33">
    <cfRule type="cellIs" dxfId="41" priority="9" stopIfTrue="1" operator="lessThan">
      <formula>0</formula>
    </cfRule>
  </conditionalFormatting>
  <conditionalFormatting sqref="D45:AE45">
    <cfRule type="cellIs" dxfId="40" priority="7" operator="lessThan">
      <formula>0</formula>
    </cfRule>
  </conditionalFormatting>
  <conditionalFormatting sqref="W53:Y53">
    <cfRule type="cellIs" dxfId="39" priority="6" stopIfTrue="1" operator="lessThan">
      <formula>0</formula>
    </cfRule>
  </conditionalFormatting>
  <conditionalFormatting sqref="W53:AE53">
    <cfRule type="cellIs" dxfId="38" priority="4" operator="lessThan">
      <formula>0</formula>
    </cfRule>
  </conditionalFormatting>
  <conditionalFormatting sqref="Z53">
    <cfRule type="cellIs" dxfId="37" priority="2" operator="lessThan">
      <formula>0</formula>
    </cfRule>
    <cfRule type="cellIs" dxfId="36" priority="3" stopIfTrue="1" operator="lessThan">
      <formula>0</formula>
    </cfRule>
  </conditionalFormatting>
  <conditionalFormatting sqref="AA53:AE53 D53:Y53 AA44:AE44 D52:L52">
    <cfRule type="cellIs" dxfId="35" priority="71" operator="lessThan">
      <formula>0</formula>
    </cfRule>
  </conditionalFormatting>
  <conditionalFormatting sqref="AG53:AH53">
    <cfRule type="cellIs" dxfId="34" priority="12" operator="lessThan">
      <formula>0</formula>
    </cfRule>
    <cfRule type="cellIs" dxfId="33" priority="13" operator="greaterThan">
      <formula>0</formula>
    </cfRule>
  </conditionalFormatting>
  <conditionalFormatting sqref="AH35:AP35">
    <cfRule type="cellIs" dxfId="32" priority="1" operator="greaterThan">
      <formula>AH$34</formula>
    </cfRule>
  </conditionalFormatting>
  <conditionalFormatting sqref="AQ36:AY36">
    <cfRule type="cellIs" dxfId="31" priority="48" operator="lessThan">
      <formula>0</formula>
    </cfRule>
  </conditionalFormatting>
  <pageMargins left="0.39370078740157483" right="0.39370078740157483" top="0.35433070866141736" bottom="0.39370078740157483" header="0.15748031496062992" footer="0.31496062992125984"/>
  <pageSetup paperSize="9" scale="66" orientation="portrait" r:id="rId1"/>
  <headerFooter alignWithMargins="0">
    <oddFooter>&amp;R&amp;G</oddFooter>
  </headerFooter>
  <colBreaks count="1" manualBreakCount="1">
    <brk id="11" max="56" man="1"/>
  </colBreaks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57"/>
  <sheetViews>
    <sheetView zoomScale="70" zoomScaleNormal="70" workbookViewId="0">
      <pane xSplit="1" topLeftCell="B1" activePane="topRight" state="frozen"/>
      <selection pane="topRight" activeCell="AH4" sqref="AH4:AH12"/>
    </sheetView>
  </sheetViews>
  <sheetFormatPr defaultColWidth="8.81640625" defaultRowHeight="12" x14ac:dyDescent="0.3"/>
  <cols>
    <col min="1" max="1" width="41.54296875" style="38" customWidth="1"/>
    <col min="2" max="2" width="12" style="38" customWidth="1"/>
    <col min="3" max="10" width="10.453125" style="38" customWidth="1"/>
    <col min="11" max="26" width="12.453125" style="38" customWidth="1"/>
    <col min="27" max="27" width="14.81640625" style="266" customWidth="1"/>
    <col min="28" max="28" width="10.81640625" style="38" customWidth="1"/>
    <col min="29" max="29" width="49.453125" style="38" customWidth="1"/>
    <col min="30" max="30" width="13.81640625" style="38" customWidth="1"/>
    <col min="31" max="34" width="14.453125" style="38" customWidth="1"/>
    <col min="35" max="36" width="10.54296875" style="38" customWidth="1"/>
    <col min="37" max="16384" width="8.81640625" style="38"/>
  </cols>
  <sheetData>
    <row r="1" spans="1:39" ht="16" thickBot="1" x14ac:dyDescent="0.4">
      <c r="A1" s="158" t="s">
        <v>65</v>
      </c>
      <c r="B1" s="158"/>
      <c r="C1" s="158"/>
      <c r="D1" s="158"/>
      <c r="E1" s="158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60"/>
      <c r="T1" s="160"/>
      <c r="U1" s="160"/>
      <c r="V1" s="160"/>
      <c r="W1" s="160"/>
      <c r="X1" s="160"/>
      <c r="Y1" s="160"/>
      <c r="Z1" s="160"/>
      <c r="AB1" s="39"/>
      <c r="AC1" s="40"/>
      <c r="AE1" s="443" t="s">
        <v>198</v>
      </c>
      <c r="AF1" s="444"/>
      <c r="AG1" s="431" t="s">
        <v>199</v>
      </c>
      <c r="AH1" s="432"/>
      <c r="AI1" s="38" t="s">
        <v>239</v>
      </c>
    </row>
    <row r="2" spans="1:39" ht="62" x14ac:dyDescent="0.3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41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266">
        <f>AD3/Z4*100</f>
        <v>122.32413069275012</v>
      </c>
      <c r="AB2" s="41" t="s">
        <v>2</v>
      </c>
      <c r="AC2" s="42" t="s">
        <v>3</v>
      </c>
      <c r="AD2" s="440" t="s">
        <v>280</v>
      </c>
      <c r="AE2" s="483" t="s">
        <v>243</v>
      </c>
      <c r="AF2" s="489" t="s">
        <v>264</v>
      </c>
      <c r="AG2" s="469" t="s">
        <v>244</v>
      </c>
      <c r="AH2" s="470" t="s">
        <v>265</v>
      </c>
      <c r="AI2" s="484">
        <v>2024</v>
      </c>
      <c r="AJ2" s="484">
        <v>2025</v>
      </c>
    </row>
    <row r="3" spans="1:39" ht="15.5" x14ac:dyDescent="0.35">
      <c r="A3" s="162" t="s">
        <v>66</v>
      </c>
      <c r="B3" s="163">
        <v>2001</v>
      </c>
      <c r="C3" s="163">
        <v>2002</v>
      </c>
      <c r="D3" s="163">
        <v>2003</v>
      </c>
      <c r="E3" s="163">
        <v>2004</v>
      </c>
      <c r="F3" s="163">
        <v>2005</v>
      </c>
      <c r="G3" s="163">
        <v>2006</v>
      </c>
      <c r="H3" s="163">
        <v>2007</v>
      </c>
      <c r="I3" s="163">
        <v>2008</v>
      </c>
      <c r="J3" s="163">
        <v>2009</v>
      </c>
      <c r="K3" s="163">
        <v>2010</v>
      </c>
      <c r="L3" s="163">
        <v>2011</v>
      </c>
      <c r="M3" s="163">
        <v>2012</v>
      </c>
      <c r="N3" s="163">
        <v>2013</v>
      </c>
      <c r="O3" s="163">
        <v>2014</v>
      </c>
      <c r="P3" s="163">
        <v>2015</v>
      </c>
      <c r="Q3" s="163">
        <v>2016</v>
      </c>
      <c r="R3" s="163">
        <v>2017</v>
      </c>
      <c r="S3" s="163">
        <v>2018</v>
      </c>
      <c r="T3" s="163">
        <v>2019</v>
      </c>
      <c r="U3" s="163">
        <v>2020</v>
      </c>
      <c r="V3" s="163">
        <v>2021</v>
      </c>
      <c r="W3" s="163">
        <v>2022</v>
      </c>
      <c r="X3" s="163">
        <v>2023</v>
      </c>
      <c r="Y3" s="163">
        <v>2024</v>
      </c>
      <c r="Z3" s="163">
        <v>2025</v>
      </c>
      <c r="AB3" s="44">
        <v>1</v>
      </c>
      <c r="AC3" s="43" t="s">
        <v>4</v>
      </c>
      <c r="AD3" s="441">
        <v>39615</v>
      </c>
      <c r="AE3" s="488">
        <v>32128.639999999999</v>
      </c>
      <c r="AF3" s="490">
        <v>39238.639999999999</v>
      </c>
      <c r="AG3" s="471">
        <v>39488.639999999999</v>
      </c>
      <c r="AH3" s="472">
        <v>41358.639999999999</v>
      </c>
      <c r="AI3" s="487"/>
      <c r="AJ3" s="487"/>
    </row>
    <row r="4" spans="1:39" ht="15.5" x14ac:dyDescent="0.35">
      <c r="A4" s="164" t="s">
        <v>67</v>
      </c>
      <c r="B4" s="165">
        <v>4907.2</v>
      </c>
      <c r="C4" s="165">
        <v>5708.89</v>
      </c>
      <c r="D4" s="165">
        <v>6076.29</v>
      </c>
      <c r="E4" s="165">
        <v>6681.91</v>
      </c>
      <c r="F4" s="166">
        <v>7263.29</v>
      </c>
      <c r="G4" s="166">
        <v>7214.68</v>
      </c>
      <c r="H4" s="166">
        <v>8745.68</v>
      </c>
      <c r="I4" s="166">
        <v>8809.7900000000009</v>
      </c>
      <c r="J4" s="166">
        <v>8510.66</v>
      </c>
      <c r="K4" s="166">
        <v>8270.4</v>
      </c>
      <c r="L4" s="166">
        <v>8554.9599999999991</v>
      </c>
      <c r="M4" s="166">
        <v>8680.99</v>
      </c>
      <c r="N4" s="166">
        <v>12017.29</v>
      </c>
      <c r="O4" s="166">
        <v>13006.91</v>
      </c>
      <c r="P4" s="166">
        <v>13754.08</v>
      </c>
      <c r="Q4" s="166">
        <v>14811.62</v>
      </c>
      <c r="R4" s="439">
        <v>16663.09</v>
      </c>
      <c r="S4" s="439">
        <v>19284.41</v>
      </c>
      <c r="T4" s="439">
        <v>21144.04</v>
      </c>
      <c r="U4" s="439">
        <v>19963.330000000002</v>
      </c>
      <c r="V4" s="439">
        <v>22699.4</v>
      </c>
      <c r="W4" s="439">
        <v>26360.65</v>
      </c>
      <c r="X4" s="439">
        <v>30074.77</v>
      </c>
      <c r="Y4" s="439">
        <v>30757.61</v>
      </c>
      <c r="Z4" s="439">
        <v>32385.27</v>
      </c>
      <c r="AB4" s="46">
        <v>1111</v>
      </c>
      <c r="AC4" s="45" t="s">
        <v>5</v>
      </c>
      <c r="AD4" s="442">
        <v>6960</v>
      </c>
      <c r="AE4" s="485">
        <v>5400</v>
      </c>
      <c r="AF4" s="491">
        <v>6870</v>
      </c>
      <c r="AG4" s="473">
        <v>6960</v>
      </c>
      <c r="AH4" s="474">
        <v>7950</v>
      </c>
      <c r="AI4" s="158"/>
      <c r="AJ4" s="158"/>
    </row>
    <row r="5" spans="1:39" ht="15.5" x14ac:dyDescent="0.35">
      <c r="A5" s="167" t="s">
        <v>68</v>
      </c>
      <c r="B5" s="168">
        <v>0</v>
      </c>
      <c r="C5" s="168">
        <v>0</v>
      </c>
      <c r="D5" s="168">
        <v>1162.92</v>
      </c>
      <c r="E5" s="168">
        <v>1232.78</v>
      </c>
      <c r="F5" s="169">
        <v>1374.89</v>
      </c>
      <c r="G5" s="169">
        <v>1405.2</v>
      </c>
      <c r="H5" s="169">
        <v>1555.64</v>
      </c>
      <c r="I5" s="169">
        <v>1527.89</v>
      </c>
      <c r="J5" s="169">
        <v>1458.8</v>
      </c>
      <c r="K5" s="169">
        <v>1571</v>
      </c>
      <c r="L5" s="169">
        <v>1527.58</v>
      </c>
      <c r="M5" s="169">
        <v>1588.4</v>
      </c>
      <c r="N5" s="169">
        <v>2409.67</v>
      </c>
      <c r="O5" s="169">
        <v>2613.81</v>
      </c>
      <c r="P5" s="169">
        <v>2565.8000000000002</v>
      </c>
      <c r="Q5" s="169">
        <v>2961.93</v>
      </c>
      <c r="R5" s="169">
        <v>3586.18</v>
      </c>
      <c r="S5" s="169">
        <v>4296.04</v>
      </c>
      <c r="T5" s="169">
        <v>4905.66</v>
      </c>
      <c r="U5" s="169">
        <v>4645.38</v>
      </c>
      <c r="V5" s="169">
        <v>3543.3</v>
      </c>
      <c r="W5" s="169">
        <v>3839.74</v>
      </c>
      <c r="X5" s="169">
        <v>4507.82</v>
      </c>
      <c r="Y5" s="169">
        <v>4959.82</v>
      </c>
      <c r="Z5" s="169">
        <v>5340.67</v>
      </c>
      <c r="AB5" s="46">
        <v>1112</v>
      </c>
      <c r="AC5" s="45" t="s">
        <v>6</v>
      </c>
      <c r="AD5" s="442">
        <v>690</v>
      </c>
      <c r="AE5" s="485">
        <v>500</v>
      </c>
      <c r="AF5" s="491">
        <v>640</v>
      </c>
      <c r="AG5" s="473">
        <v>690</v>
      </c>
      <c r="AH5" s="474">
        <v>740</v>
      </c>
      <c r="AI5" s="161"/>
      <c r="AJ5" s="161"/>
    </row>
    <row r="6" spans="1:39" ht="15.5" x14ac:dyDescent="0.35">
      <c r="A6" s="170" t="s">
        <v>69</v>
      </c>
      <c r="B6" s="171">
        <v>0</v>
      </c>
      <c r="C6" s="171">
        <v>0</v>
      </c>
      <c r="D6" s="171">
        <v>488.6</v>
      </c>
      <c r="E6" s="171">
        <v>605.49</v>
      </c>
      <c r="F6" s="172">
        <v>645.28</v>
      </c>
      <c r="G6" s="172">
        <v>292.18</v>
      </c>
      <c r="H6" s="172">
        <v>390.17</v>
      </c>
      <c r="I6" s="172">
        <v>295.98</v>
      </c>
      <c r="J6" s="172">
        <v>316.60000000000002</v>
      </c>
      <c r="K6" s="172">
        <v>134.27000000000001</v>
      </c>
      <c r="L6" s="172">
        <v>70.430000000000007</v>
      </c>
      <c r="M6" s="172">
        <v>64.86</v>
      </c>
      <c r="N6" s="172">
        <v>96.78</v>
      </c>
      <c r="O6" s="172">
        <v>56.51</v>
      </c>
      <c r="P6" s="172">
        <v>160.82</v>
      </c>
      <c r="Q6" s="172">
        <v>119.77</v>
      </c>
      <c r="R6" s="172">
        <v>95.05</v>
      </c>
      <c r="S6" s="172">
        <v>99.6</v>
      </c>
      <c r="T6" s="172">
        <v>133.96</v>
      </c>
      <c r="U6" s="172">
        <v>75.06</v>
      </c>
      <c r="V6" s="172">
        <v>231.6</v>
      </c>
      <c r="W6" s="172">
        <v>349.82</v>
      </c>
      <c r="X6" s="172">
        <v>375.57</v>
      </c>
      <c r="Y6" s="172">
        <v>365.04</v>
      </c>
      <c r="Z6" s="172">
        <v>505.88</v>
      </c>
      <c r="AB6" s="46">
        <v>1113</v>
      </c>
      <c r="AC6" s="45" t="s">
        <v>7</v>
      </c>
      <c r="AD6" s="442">
        <v>1240</v>
      </c>
      <c r="AE6" s="485">
        <v>1030</v>
      </c>
      <c r="AF6" s="491">
        <v>1130</v>
      </c>
      <c r="AG6" s="473">
        <v>1240</v>
      </c>
      <c r="AH6" s="474">
        <v>720</v>
      </c>
      <c r="AI6" s="158"/>
      <c r="AJ6" s="158"/>
      <c r="AL6" s="38">
        <f>AJ3/Z4*100</f>
        <v>0</v>
      </c>
    </row>
    <row r="7" spans="1:39" ht="31" x14ac:dyDescent="0.35">
      <c r="A7" s="167" t="s">
        <v>70</v>
      </c>
      <c r="B7" s="168">
        <v>0</v>
      </c>
      <c r="C7" s="168">
        <v>0</v>
      </c>
      <c r="D7" s="168">
        <v>71.150000000000006</v>
      </c>
      <c r="E7" s="168">
        <v>86.58</v>
      </c>
      <c r="F7" s="169">
        <v>74.02</v>
      </c>
      <c r="G7" s="169">
        <v>82.89</v>
      </c>
      <c r="H7" s="169">
        <v>101.15</v>
      </c>
      <c r="I7" s="169">
        <v>134.03</v>
      </c>
      <c r="J7" s="169">
        <v>130.71</v>
      </c>
      <c r="K7" s="169">
        <v>130.32</v>
      </c>
      <c r="L7" s="169">
        <v>150.03</v>
      </c>
      <c r="M7" s="169">
        <v>180.74</v>
      </c>
      <c r="N7" s="169">
        <v>246.9</v>
      </c>
      <c r="O7" s="169">
        <v>296.02999999999997</v>
      </c>
      <c r="P7" s="169">
        <v>319.93</v>
      </c>
      <c r="Q7" s="169">
        <v>327.43</v>
      </c>
      <c r="R7" s="169">
        <v>331.58</v>
      </c>
      <c r="S7" s="169">
        <v>394.1</v>
      </c>
      <c r="T7" s="169">
        <v>452.03</v>
      </c>
      <c r="U7" s="169">
        <v>458.05</v>
      </c>
      <c r="V7" s="169">
        <v>600.4</v>
      </c>
      <c r="W7" s="169">
        <v>777.6</v>
      </c>
      <c r="X7" s="169">
        <v>1083.6400000000001</v>
      </c>
      <c r="Y7" s="169">
        <v>1134.98</v>
      </c>
      <c r="Z7" s="169">
        <v>1025.73</v>
      </c>
      <c r="AB7" s="46">
        <v>1121</v>
      </c>
      <c r="AC7" s="45" t="s">
        <v>8</v>
      </c>
      <c r="AD7" s="442">
        <v>9430</v>
      </c>
      <c r="AE7" s="485">
        <v>7430</v>
      </c>
      <c r="AF7" s="491">
        <v>9450</v>
      </c>
      <c r="AG7" s="473">
        <v>9430</v>
      </c>
      <c r="AH7" s="474">
        <v>9900</v>
      </c>
      <c r="AI7" s="158"/>
      <c r="AJ7" s="158"/>
    </row>
    <row r="8" spans="1:39" ht="15.5" x14ac:dyDescent="0.35">
      <c r="A8" s="167" t="s">
        <v>71</v>
      </c>
      <c r="B8" s="168">
        <v>0</v>
      </c>
      <c r="C8" s="168">
        <v>0</v>
      </c>
      <c r="D8" s="168">
        <v>1214.3599999999999</v>
      </c>
      <c r="E8" s="168">
        <v>1362.97</v>
      </c>
      <c r="F8" s="169">
        <v>1529.01</v>
      </c>
      <c r="G8" s="169">
        <v>1616.65</v>
      </c>
      <c r="H8" s="169">
        <v>1836.13</v>
      </c>
      <c r="I8" s="169">
        <v>2319</v>
      </c>
      <c r="J8" s="169">
        <v>1630.07</v>
      </c>
      <c r="K8" s="169">
        <v>1647.36</v>
      </c>
      <c r="L8" s="169">
        <v>1566.23</v>
      </c>
      <c r="M8" s="169">
        <v>1769.86</v>
      </c>
      <c r="N8" s="169">
        <v>2418.1</v>
      </c>
      <c r="O8" s="169">
        <v>2831.44</v>
      </c>
      <c r="P8" s="169">
        <v>2970.48</v>
      </c>
      <c r="Q8" s="169">
        <v>3383.95</v>
      </c>
      <c r="R8" s="169">
        <v>3532.77</v>
      </c>
      <c r="S8" s="169">
        <v>3621.71</v>
      </c>
      <c r="T8" s="169">
        <v>4209.3900000000003</v>
      </c>
      <c r="U8" s="169">
        <v>3428.77</v>
      </c>
      <c r="V8" s="169">
        <v>5067.1000000000004</v>
      </c>
      <c r="W8" s="169">
        <v>5880.39</v>
      </c>
      <c r="X8" s="169">
        <v>7861.17</v>
      </c>
      <c r="Y8" s="169">
        <v>7031.92</v>
      </c>
      <c r="Z8" s="169">
        <v>7761.4</v>
      </c>
      <c r="AB8" s="46">
        <v>1122</v>
      </c>
      <c r="AC8" s="45" t="s">
        <v>9</v>
      </c>
      <c r="AD8" s="442">
        <v>0</v>
      </c>
      <c r="AE8" s="485">
        <v>0</v>
      </c>
      <c r="AF8" s="492">
        <v>0</v>
      </c>
      <c r="AG8" s="475">
        <v>0</v>
      </c>
      <c r="AH8" s="476">
        <v>0</v>
      </c>
      <c r="AI8" s="161"/>
      <c r="AJ8" s="161"/>
    </row>
    <row r="9" spans="1:39" ht="15.5" x14ac:dyDescent="0.35">
      <c r="A9" s="170" t="s">
        <v>72</v>
      </c>
      <c r="B9" s="171">
        <v>0</v>
      </c>
      <c r="C9" s="171">
        <v>0</v>
      </c>
      <c r="D9" s="171">
        <v>119.04</v>
      </c>
      <c r="E9" s="171">
        <v>179.03</v>
      </c>
      <c r="F9" s="172">
        <v>13.06</v>
      </c>
      <c r="G9" s="172">
        <v>15.86</v>
      </c>
      <c r="H9" s="172">
        <v>854.16</v>
      </c>
      <c r="I9" s="172">
        <v>15.48</v>
      </c>
      <c r="J9" s="172">
        <v>151.11000000000001</v>
      </c>
      <c r="K9" s="172">
        <v>11.2</v>
      </c>
      <c r="L9" s="172">
        <v>62.7</v>
      </c>
      <c r="M9" s="172">
        <v>4</v>
      </c>
      <c r="N9" s="172">
        <v>0</v>
      </c>
      <c r="O9" s="172">
        <v>0</v>
      </c>
      <c r="P9" s="172">
        <v>0</v>
      </c>
      <c r="Q9" s="172">
        <v>0</v>
      </c>
      <c r="R9" s="172">
        <v>0</v>
      </c>
      <c r="S9" s="172">
        <v>0</v>
      </c>
      <c r="T9" s="172">
        <v>0</v>
      </c>
      <c r="U9" s="172">
        <v>0</v>
      </c>
      <c r="V9" s="172">
        <v>0</v>
      </c>
      <c r="W9" s="172">
        <v>0</v>
      </c>
      <c r="X9" s="172">
        <v>0</v>
      </c>
      <c r="Y9" s="172">
        <v>0</v>
      </c>
      <c r="Z9" s="172">
        <v>0</v>
      </c>
      <c r="AB9" s="46">
        <v>1211</v>
      </c>
      <c r="AC9" s="45" t="s">
        <v>10</v>
      </c>
      <c r="AD9" s="442">
        <v>17910</v>
      </c>
      <c r="AE9" s="485">
        <v>14510</v>
      </c>
      <c r="AF9" s="491">
        <v>17890</v>
      </c>
      <c r="AG9" s="473">
        <v>17910</v>
      </c>
      <c r="AH9" s="474">
        <v>18790</v>
      </c>
      <c r="AI9" s="158"/>
      <c r="AJ9" s="158"/>
    </row>
    <row r="10" spans="1:39" ht="25" x14ac:dyDescent="0.35">
      <c r="A10" s="167" t="s">
        <v>73</v>
      </c>
      <c r="B10" s="168">
        <v>0</v>
      </c>
      <c r="C10" s="168">
        <v>0</v>
      </c>
      <c r="D10" s="168">
        <v>1849.53</v>
      </c>
      <c r="E10" s="168">
        <v>2026.53</v>
      </c>
      <c r="F10" s="169">
        <v>2402.9899999999998</v>
      </c>
      <c r="G10" s="169">
        <v>2609.7600000000002</v>
      </c>
      <c r="H10" s="169">
        <v>2781.27</v>
      </c>
      <c r="I10" s="169">
        <v>3324.26</v>
      </c>
      <c r="J10" s="169">
        <v>3279.36</v>
      </c>
      <c r="K10" s="169">
        <v>3423.55</v>
      </c>
      <c r="L10" s="169">
        <v>3723.56</v>
      </c>
      <c r="M10" s="169">
        <v>3532.29</v>
      </c>
      <c r="N10" s="169">
        <v>5128.6899999999996</v>
      </c>
      <c r="O10" s="169">
        <v>5424.87</v>
      </c>
      <c r="P10" s="169">
        <v>5871.13</v>
      </c>
      <c r="Q10" s="169">
        <v>6199.72</v>
      </c>
      <c r="R10" s="169">
        <v>7153.51</v>
      </c>
      <c r="S10" s="169">
        <v>8891.81</v>
      </c>
      <c r="T10" s="169">
        <v>9473.14</v>
      </c>
      <c r="U10" s="169">
        <v>9401.64</v>
      </c>
      <c r="V10" s="169">
        <v>11320.6</v>
      </c>
      <c r="W10" s="169">
        <v>13354.72</v>
      </c>
      <c r="X10" s="169">
        <v>14138.44</v>
      </c>
      <c r="Y10" s="169">
        <v>14110.18</v>
      </c>
      <c r="Z10" s="169">
        <v>14492.95</v>
      </c>
      <c r="AB10" s="46" t="s">
        <v>200</v>
      </c>
      <c r="AC10" s="45" t="s">
        <v>232</v>
      </c>
      <c r="AD10" s="413">
        <f>AD3-AD4-AD5-AD6-AD7-AD8-AD9-AD11-AD12</f>
        <v>1610</v>
      </c>
      <c r="AE10" s="485">
        <v>1508.42</v>
      </c>
      <c r="AF10" s="492">
        <v>1508.42</v>
      </c>
      <c r="AG10" s="475">
        <v>1508.42</v>
      </c>
      <c r="AH10" s="476">
        <v>1508.42</v>
      </c>
      <c r="AI10" s="161"/>
      <c r="AJ10" s="161"/>
    </row>
    <row r="11" spans="1:39" ht="15.5" x14ac:dyDescent="0.35">
      <c r="A11" s="170" t="s">
        <v>74</v>
      </c>
      <c r="B11" s="171">
        <v>0</v>
      </c>
      <c r="C11" s="171">
        <v>0</v>
      </c>
      <c r="D11" s="171">
        <v>557.04999999999995</v>
      </c>
      <c r="E11" s="171">
        <v>632.29</v>
      </c>
      <c r="F11" s="172">
        <v>594.27</v>
      </c>
      <c r="G11" s="172">
        <v>588.19000000000005</v>
      </c>
      <c r="H11" s="172">
        <v>567.27</v>
      </c>
      <c r="I11" s="172">
        <v>565.41999999999996</v>
      </c>
      <c r="J11" s="172">
        <v>856.5</v>
      </c>
      <c r="K11" s="172">
        <v>539.59</v>
      </c>
      <c r="L11" s="172">
        <v>542.72</v>
      </c>
      <c r="M11" s="172">
        <v>687.29</v>
      </c>
      <c r="N11" s="172">
        <v>864.2</v>
      </c>
      <c r="O11" s="172">
        <v>887.59</v>
      </c>
      <c r="P11" s="172">
        <v>914.57</v>
      </c>
      <c r="Q11" s="172">
        <v>905.88</v>
      </c>
      <c r="R11" s="172">
        <v>1010.96</v>
      </c>
      <c r="S11" s="172">
        <v>975.5</v>
      </c>
      <c r="T11" s="172">
        <v>896.95</v>
      </c>
      <c r="U11" s="172">
        <v>990.02</v>
      </c>
      <c r="V11" s="172">
        <v>980.2</v>
      </c>
      <c r="W11" s="172">
        <v>1072.33</v>
      </c>
      <c r="X11" s="172">
        <v>1071.23</v>
      </c>
      <c r="Y11" s="172">
        <v>1447.04</v>
      </c>
      <c r="Z11" s="172">
        <v>1508.42</v>
      </c>
      <c r="AB11" s="46">
        <v>1361</v>
      </c>
      <c r="AC11" s="45" t="s">
        <v>11</v>
      </c>
      <c r="AD11" s="442">
        <v>75</v>
      </c>
      <c r="AE11" s="485">
        <v>68.430000000000007</v>
      </c>
      <c r="AF11" s="492">
        <v>68.430000000000007</v>
      </c>
      <c r="AG11" s="475">
        <v>68.430000000000007</v>
      </c>
      <c r="AH11" s="476">
        <v>68.430000000000007</v>
      </c>
      <c r="AI11" s="158"/>
      <c r="AJ11" s="158"/>
    </row>
    <row r="12" spans="1:39" ht="16" thickBot="1" x14ac:dyDescent="0.4">
      <c r="A12" s="167" t="s">
        <v>75</v>
      </c>
      <c r="B12" s="168">
        <v>0</v>
      </c>
      <c r="C12" s="168">
        <v>0</v>
      </c>
      <c r="D12" s="168">
        <v>46.85</v>
      </c>
      <c r="E12" s="168">
        <v>14.17</v>
      </c>
      <c r="F12" s="169">
        <v>35.159999999999997</v>
      </c>
      <c r="G12" s="169">
        <v>22.4</v>
      </c>
      <c r="H12" s="169">
        <v>45.48</v>
      </c>
      <c r="I12" s="169">
        <v>31.07</v>
      </c>
      <c r="J12" s="169">
        <v>34.79</v>
      </c>
      <c r="K12" s="169">
        <v>25.18</v>
      </c>
      <c r="L12" s="169">
        <v>36.76</v>
      </c>
      <c r="M12" s="169">
        <v>40.1</v>
      </c>
      <c r="N12" s="169">
        <v>33.979999999999997</v>
      </c>
      <c r="O12" s="169">
        <v>31.83</v>
      </c>
      <c r="P12" s="169">
        <v>50.44</v>
      </c>
      <c r="Q12" s="169">
        <v>42.25</v>
      </c>
      <c r="R12" s="169">
        <v>46.93</v>
      </c>
      <c r="S12" s="169">
        <v>83.64</v>
      </c>
      <c r="T12" s="169">
        <v>141.85</v>
      </c>
      <c r="U12" s="169">
        <v>113.64</v>
      </c>
      <c r="V12" s="169">
        <v>60.4</v>
      </c>
      <c r="W12" s="169">
        <v>46.13</v>
      </c>
      <c r="X12" s="169">
        <v>38.409999999999997</v>
      </c>
      <c r="Y12" s="169">
        <v>54.25</v>
      </c>
      <c r="Z12" s="169">
        <v>68.430000000000007</v>
      </c>
      <c r="AB12" s="46">
        <v>1511</v>
      </c>
      <c r="AC12" s="45" t="s">
        <v>12</v>
      </c>
      <c r="AD12" s="442">
        <v>1700</v>
      </c>
      <c r="AE12" s="486">
        <v>1681.79</v>
      </c>
      <c r="AF12" s="493">
        <v>1681.79</v>
      </c>
      <c r="AG12" s="477">
        <v>1681.79</v>
      </c>
      <c r="AH12" s="478">
        <v>1681.79</v>
      </c>
      <c r="AI12" s="158"/>
      <c r="AJ12" s="158"/>
      <c r="AK12" s="266"/>
      <c r="AL12" s="266">
        <f>AE9+AE7+AE4+AE6</f>
        <v>28370</v>
      </c>
      <c r="AM12" s="266">
        <f>AL12-AK12</f>
        <v>28370</v>
      </c>
    </row>
    <row r="13" spans="1:39" ht="15.5" x14ac:dyDescent="0.35">
      <c r="A13" s="167" t="s">
        <v>76</v>
      </c>
      <c r="B13" s="173">
        <v>0</v>
      </c>
      <c r="C13" s="168">
        <v>0</v>
      </c>
      <c r="D13" s="168">
        <v>566.79</v>
      </c>
      <c r="E13" s="168">
        <v>542.07000000000005</v>
      </c>
      <c r="F13" s="169">
        <v>594.61</v>
      </c>
      <c r="G13" s="169">
        <v>581.54999999999995</v>
      </c>
      <c r="H13" s="169">
        <v>591.88</v>
      </c>
      <c r="I13" s="169">
        <v>596.66</v>
      </c>
      <c r="J13" s="169">
        <v>652.72</v>
      </c>
      <c r="K13" s="169">
        <v>782.93</v>
      </c>
      <c r="L13" s="169">
        <v>874.94</v>
      </c>
      <c r="M13" s="169">
        <v>813.45</v>
      </c>
      <c r="N13" s="169">
        <v>818.96</v>
      </c>
      <c r="O13" s="169">
        <v>864.84</v>
      </c>
      <c r="P13" s="169">
        <v>900.9</v>
      </c>
      <c r="Q13" s="169">
        <v>870.68</v>
      </c>
      <c r="R13" s="169">
        <v>906.12</v>
      </c>
      <c r="S13" s="169">
        <v>922.01</v>
      </c>
      <c r="T13" s="169">
        <v>931.06</v>
      </c>
      <c r="U13" s="169">
        <v>850.77</v>
      </c>
      <c r="V13" s="169">
        <v>895.7</v>
      </c>
      <c r="W13" s="169">
        <v>1039.92</v>
      </c>
      <c r="X13" s="169">
        <v>998.5</v>
      </c>
      <c r="Y13" s="169">
        <v>1654.37</v>
      </c>
      <c r="Z13" s="169">
        <v>1681.79</v>
      </c>
      <c r="AB13" s="44">
        <v>2</v>
      </c>
      <c r="AC13" s="43" t="s">
        <v>13</v>
      </c>
      <c r="AD13" s="278">
        <v>4097</v>
      </c>
      <c r="AE13" s="266"/>
      <c r="AF13" s="266"/>
    </row>
    <row r="14" spans="1:39" ht="15.5" x14ac:dyDescent="0.35">
      <c r="A14" s="164" t="s">
        <v>77</v>
      </c>
      <c r="B14" s="165">
        <v>1206.3900000000001</v>
      </c>
      <c r="C14" s="165">
        <v>1338.16</v>
      </c>
      <c r="D14" s="165">
        <v>1484.91</v>
      </c>
      <c r="E14" s="165">
        <v>1334.83</v>
      </c>
      <c r="F14" s="166">
        <v>1006.89</v>
      </c>
      <c r="G14" s="166">
        <v>801.24</v>
      </c>
      <c r="H14" s="166">
        <v>996.22</v>
      </c>
      <c r="I14" s="166">
        <v>765.24</v>
      </c>
      <c r="J14" s="166">
        <v>532.5</v>
      </c>
      <c r="K14" s="166">
        <v>654.13</v>
      </c>
      <c r="L14" s="166">
        <v>674.97</v>
      </c>
      <c r="M14" s="166">
        <v>765.24</v>
      </c>
      <c r="N14" s="166">
        <v>784.02</v>
      </c>
      <c r="O14" s="166">
        <v>959.06</v>
      </c>
      <c r="P14" s="166">
        <v>1307.1500000000001</v>
      </c>
      <c r="Q14" s="166">
        <v>741.9</v>
      </c>
      <c r="R14" s="166">
        <v>809.3</v>
      </c>
      <c r="S14" s="166">
        <v>1633.83</v>
      </c>
      <c r="T14" s="166">
        <v>3018.11</v>
      </c>
      <c r="U14" s="166">
        <v>2021.17</v>
      </c>
      <c r="V14" s="166">
        <v>2431.3000000000002</v>
      </c>
      <c r="W14" s="166">
        <v>3590.13</v>
      </c>
      <c r="X14" s="166">
        <v>4801.6499999999996</v>
      </c>
      <c r="Y14" s="166">
        <v>5781.58</v>
      </c>
      <c r="Z14" s="166">
        <v>4278.45</v>
      </c>
      <c r="AB14" s="46">
        <v>21</v>
      </c>
      <c r="AC14" s="45" t="s">
        <v>14</v>
      </c>
      <c r="AD14" s="277">
        <v>3349</v>
      </c>
      <c r="AE14" s="266"/>
    </row>
    <row r="15" spans="1:39" ht="15.5" x14ac:dyDescent="0.35">
      <c r="A15" s="167" t="s">
        <v>78</v>
      </c>
      <c r="B15" s="168">
        <v>0</v>
      </c>
      <c r="C15" s="168">
        <v>0</v>
      </c>
      <c r="D15" s="168">
        <v>810.57</v>
      </c>
      <c r="E15" s="168">
        <v>1333.15</v>
      </c>
      <c r="F15" s="169">
        <v>1006.89</v>
      </c>
      <c r="G15" s="169">
        <v>713.86</v>
      </c>
      <c r="H15" s="169">
        <v>590.37</v>
      </c>
      <c r="I15" s="169">
        <v>545.94000000000005</v>
      </c>
      <c r="J15" s="169">
        <v>524.97</v>
      </c>
      <c r="K15" s="169">
        <v>569.66</v>
      </c>
      <c r="L15" s="169">
        <v>586.79</v>
      </c>
      <c r="M15" s="169">
        <v>685.29</v>
      </c>
      <c r="N15" s="169">
        <v>602.49</v>
      </c>
      <c r="O15" s="169">
        <v>863.72</v>
      </c>
      <c r="P15" s="169">
        <v>559.09</v>
      </c>
      <c r="Q15" s="169">
        <v>590.6</v>
      </c>
      <c r="R15" s="169">
        <v>528.21</v>
      </c>
      <c r="S15" s="169">
        <v>1459.33</v>
      </c>
      <c r="T15" s="169">
        <v>1825.35</v>
      </c>
      <c r="U15" s="169">
        <v>1596.01</v>
      </c>
      <c r="V15" s="169">
        <v>1470.2</v>
      </c>
      <c r="W15" s="169">
        <v>2537.63</v>
      </c>
      <c r="X15" s="169">
        <v>2578.6799999999998</v>
      </c>
      <c r="Y15" s="169">
        <v>3116.53</v>
      </c>
      <c r="Z15" s="169">
        <v>3024.59</v>
      </c>
      <c r="AB15" s="46">
        <v>22</v>
      </c>
      <c r="AC15" s="45" t="s">
        <v>15</v>
      </c>
      <c r="AD15" s="277">
        <v>0</v>
      </c>
      <c r="AE15" s="266"/>
    </row>
    <row r="16" spans="1:39" ht="31" x14ac:dyDescent="0.35">
      <c r="A16" s="167" t="s">
        <v>188</v>
      </c>
      <c r="B16" s="168">
        <v>0</v>
      </c>
      <c r="C16" s="168">
        <v>0</v>
      </c>
      <c r="D16" s="168">
        <v>603.78</v>
      </c>
      <c r="E16" s="168">
        <v>0.18</v>
      </c>
      <c r="F16" s="169">
        <v>0</v>
      </c>
      <c r="G16" s="169">
        <v>87.38</v>
      </c>
      <c r="H16" s="169">
        <v>405.85</v>
      </c>
      <c r="I16" s="169">
        <v>219.3</v>
      </c>
      <c r="J16" s="169">
        <v>7.53</v>
      </c>
      <c r="K16" s="169">
        <v>84.47</v>
      </c>
      <c r="L16" s="169">
        <v>58.18</v>
      </c>
      <c r="M16" s="169">
        <v>78.45</v>
      </c>
      <c r="N16" s="169">
        <v>181.03</v>
      </c>
      <c r="O16" s="169">
        <v>66.81</v>
      </c>
      <c r="P16" s="169">
        <v>689.13</v>
      </c>
      <c r="Q16" s="169">
        <v>151.30000000000001</v>
      </c>
      <c r="R16" s="169">
        <v>131.09</v>
      </c>
      <c r="S16" s="169">
        <v>174.51</v>
      </c>
      <c r="T16" s="169">
        <v>1192.76</v>
      </c>
      <c r="U16" s="169">
        <v>410.17</v>
      </c>
      <c r="V16" s="169">
        <v>957.6</v>
      </c>
      <c r="W16" s="169">
        <v>1051.3599999999999</v>
      </c>
      <c r="X16" s="169">
        <v>2117.9699999999998</v>
      </c>
      <c r="Y16" s="169">
        <v>2665.05</v>
      </c>
      <c r="Z16" s="169">
        <v>1253.8599999999999</v>
      </c>
      <c r="AB16" s="46">
        <v>23</v>
      </c>
      <c r="AC16" s="45" t="s">
        <v>16</v>
      </c>
      <c r="AD16" s="277">
        <v>748</v>
      </c>
      <c r="AE16" s="523"/>
      <c r="AF16" s="266"/>
    </row>
    <row r="17" spans="1:37" ht="15.5" x14ac:dyDescent="0.35">
      <c r="A17" s="164" t="s">
        <v>79</v>
      </c>
      <c r="B17" s="165">
        <v>100</v>
      </c>
      <c r="C17" s="165">
        <v>225.17</v>
      </c>
      <c r="D17" s="165">
        <v>209.37</v>
      </c>
      <c r="E17" s="165">
        <v>490.73</v>
      </c>
      <c r="F17" s="166">
        <v>5.28</v>
      </c>
      <c r="G17" s="166">
        <v>3065.72</v>
      </c>
      <c r="H17" s="166">
        <v>65.959999999999994</v>
      </c>
      <c r="I17" s="166">
        <v>6</v>
      </c>
      <c r="J17" s="166">
        <v>5903</v>
      </c>
      <c r="K17" s="166">
        <v>317.89999999999998</v>
      </c>
      <c r="L17" s="166">
        <v>33.5</v>
      </c>
      <c r="M17" s="166">
        <v>172.7</v>
      </c>
      <c r="N17" s="166">
        <v>4.76</v>
      </c>
      <c r="O17" s="166">
        <v>900.92</v>
      </c>
      <c r="P17" s="166">
        <v>1925.22</v>
      </c>
      <c r="Q17" s="166">
        <v>255.6</v>
      </c>
      <c r="R17" s="166">
        <v>463.6</v>
      </c>
      <c r="S17" s="166">
        <v>329.93</v>
      </c>
      <c r="T17" s="166">
        <v>421.04</v>
      </c>
      <c r="U17" s="166">
        <v>127.5</v>
      </c>
      <c r="V17" s="166">
        <v>773</v>
      </c>
      <c r="W17" s="166">
        <v>165</v>
      </c>
      <c r="X17" s="166">
        <v>175</v>
      </c>
      <c r="Y17" s="166">
        <v>568.52</v>
      </c>
      <c r="Z17" s="166">
        <v>586.53</v>
      </c>
      <c r="AB17" s="46">
        <v>24</v>
      </c>
      <c r="AC17" s="45" t="s">
        <v>17</v>
      </c>
      <c r="AD17" s="277">
        <v>0</v>
      </c>
      <c r="AE17" s="266"/>
    </row>
    <row r="18" spans="1:37" ht="15.5" x14ac:dyDescent="0.35">
      <c r="A18" s="164" t="s">
        <v>80</v>
      </c>
      <c r="B18" s="165">
        <v>2686.87</v>
      </c>
      <c r="C18" s="165">
        <v>3197.49</v>
      </c>
      <c r="D18" s="165">
        <v>7734.86</v>
      </c>
      <c r="E18" s="165">
        <v>8543.73</v>
      </c>
      <c r="F18" s="166">
        <v>3248.94</v>
      </c>
      <c r="G18" s="166">
        <v>1273.23</v>
      </c>
      <c r="H18" s="166">
        <v>3408.03</v>
      </c>
      <c r="I18" s="166">
        <v>1424.88</v>
      </c>
      <c r="J18" s="166">
        <v>5461.86</v>
      </c>
      <c r="K18" s="166">
        <v>2658.46</v>
      </c>
      <c r="L18" s="166">
        <v>3023.34</v>
      </c>
      <c r="M18" s="166">
        <v>3460.87</v>
      </c>
      <c r="N18" s="166">
        <v>2002.02</v>
      </c>
      <c r="O18" s="166">
        <v>13984.12</v>
      </c>
      <c r="P18" s="166">
        <v>27076.95</v>
      </c>
      <c r="Q18" s="166">
        <v>1015.97</v>
      </c>
      <c r="R18" s="166">
        <v>7869.26</v>
      </c>
      <c r="S18" s="166">
        <v>3903.61</v>
      </c>
      <c r="T18" s="166">
        <v>25660.68</v>
      </c>
      <c r="U18" s="166">
        <v>79199.759999999995</v>
      </c>
      <c r="V18" s="166">
        <v>15932.3</v>
      </c>
      <c r="W18" s="166">
        <v>3392.99</v>
      </c>
      <c r="X18" s="166">
        <v>12759.36</v>
      </c>
      <c r="Y18" s="166">
        <v>8696.19</v>
      </c>
      <c r="Z18" s="166">
        <v>18051.849999999999</v>
      </c>
      <c r="AB18" s="44">
        <v>3</v>
      </c>
      <c r="AC18" s="43" t="s">
        <v>18</v>
      </c>
      <c r="AD18" s="278">
        <v>260</v>
      </c>
      <c r="AE18" s="266"/>
      <c r="AK18" s="266">
        <f>AD3-Z4</f>
        <v>7229.73</v>
      </c>
    </row>
    <row r="19" spans="1:37" ht="15.5" x14ac:dyDescent="0.35">
      <c r="A19" s="167" t="s">
        <v>81</v>
      </c>
      <c r="B19" s="168">
        <v>0</v>
      </c>
      <c r="C19" s="168">
        <v>0</v>
      </c>
      <c r="D19" s="168">
        <v>7734.86</v>
      </c>
      <c r="E19" s="168">
        <v>7963.73</v>
      </c>
      <c r="F19" s="169">
        <v>1237.25</v>
      </c>
      <c r="G19" s="169">
        <v>1273.23</v>
      </c>
      <c r="H19" s="169">
        <v>1408.03</v>
      </c>
      <c r="I19" s="169">
        <v>1403.88</v>
      </c>
      <c r="J19" s="169">
        <v>4173.09</v>
      </c>
      <c r="K19" s="169">
        <v>2441.2399999999998</v>
      </c>
      <c r="L19" s="169">
        <v>2371.67</v>
      </c>
      <c r="M19" s="169">
        <v>3460.87</v>
      </c>
      <c r="N19" s="169">
        <v>1937.02</v>
      </c>
      <c r="O19" s="169">
        <v>1684.12</v>
      </c>
      <c r="P19" s="169">
        <v>1064.46</v>
      </c>
      <c r="Q19" s="169">
        <v>986.05</v>
      </c>
      <c r="R19" s="169">
        <v>799.75</v>
      </c>
      <c r="S19" s="169">
        <v>2017.61</v>
      </c>
      <c r="T19" s="169">
        <v>1046.28</v>
      </c>
      <c r="U19" s="169">
        <v>2290.5</v>
      </c>
      <c r="V19" s="169">
        <v>1826.6</v>
      </c>
      <c r="W19" s="169">
        <v>2015.96</v>
      </c>
      <c r="X19" s="169">
        <v>3074.14</v>
      </c>
      <c r="Y19" s="169">
        <v>1589.07</v>
      </c>
      <c r="Z19" s="169">
        <v>2510.09</v>
      </c>
      <c r="AB19" s="44">
        <v>4</v>
      </c>
      <c r="AC19" s="43" t="s">
        <v>19</v>
      </c>
      <c r="AD19" s="278">
        <v>9096</v>
      </c>
      <c r="AE19" s="266"/>
      <c r="AK19" s="38">
        <f>AK18/Z4*100</f>
        <v>22.324130692750128</v>
      </c>
    </row>
    <row r="20" spans="1:37" ht="15.5" x14ac:dyDescent="0.35">
      <c r="A20" s="167" t="s">
        <v>82</v>
      </c>
      <c r="B20" s="168">
        <v>0</v>
      </c>
      <c r="C20" s="168">
        <v>0</v>
      </c>
      <c r="D20" s="168">
        <v>0</v>
      </c>
      <c r="E20" s="168">
        <v>580</v>
      </c>
      <c r="F20" s="169">
        <v>2011.69</v>
      </c>
      <c r="G20" s="169">
        <v>0</v>
      </c>
      <c r="H20" s="169">
        <v>2000</v>
      </c>
      <c r="I20" s="169">
        <v>21</v>
      </c>
      <c r="J20" s="169">
        <v>1288.77</v>
      </c>
      <c r="K20" s="169">
        <v>217.22</v>
      </c>
      <c r="L20" s="169">
        <v>651.66999999999996</v>
      </c>
      <c r="M20" s="169">
        <v>0</v>
      </c>
      <c r="N20" s="169">
        <v>65</v>
      </c>
      <c r="O20" s="169">
        <v>12300</v>
      </c>
      <c r="P20" s="169">
        <v>26012.49</v>
      </c>
      <c r="Q20" s="169">
        <v>29.91</v>
      </c>
      <c r="R20" s="169">
        <v>7069.51</v>
      </c>
      <c r="S20" s="169">
        <v>1886</v>
      </c>
      <c r="T20" s="169">
        <v>24614.400000000001</v>
      </c>
      <c r="U20" s="169">
        <v>76909.259999999995</v>
      </c>
      <c r="V20" s="169">
        <v>14105.8</v>
      </c>
      <c r="W20" s="169">
        <v>1377.03</v>
      </c>
      <c r="X20" s="169">
        <v>9685.2199999999993</v>
      </c>
      <c r="Y20" s="169">
        <v>7107.12</v>
      </c>
      <c r="Z20" s="169">
        <v>15541.76</v>
      </c>
      <c r="AB20" s="46">
        <v>41</v>
      </c>
      <c r="AC20" s="45" t="s">
        <v>20</v>
      </c>
      <c r="AD20" s="277">
        <v>3687</v>
      </c>
      <c r="AE20" s="266"/>
    </row>
    <row r="21" spans="1:37" ht="46.5" x14ac:dyDescent="0.35">
      <c r="A21" s="167" t="s">
        <v>83</v>
      </c>
      <c r="B21" s="168">
        <v>0</v>
      </c>
      <c r="C21" s="168">
        <v>0</v>
      </c>
      <c r="D21" s="168">
        <v>319.5</v>
      </c>
      <c r="E21" s="168">
        <v>390.9</v>
      </c>
      <c r="F21" s="169">
        <v>418.9</v>
      </c>
      <c r="G21" s="169">
        <v>427.64</v>
      </c>
      <c r="H21" s="169">
        <v>440.08</v>
      </c>
      <c r="I21" s="169">
        <v>437.2</v>
      </c>
      <c r="J21" s="169">
        <v>437.6</v>
      </c>
      <c r="K21" s="169">
        <v>937.3</v>
      </c>
      <c r="L21" s="169">
        <v>935</v>
      </c>
      <c r="M21" s="169">
        <v>962.1</v>
      </c>
      <c r="N21" s="169">
        <v>514.29999999999995</v>
      </c>
      <c r="O21" s="169">
        <v>522.5</v>
      </c>
      <c r="P21" s="169">
        <v>528.1</v>
      </c>
      <c r="Q21" s="169">
        <v>539.5</v>
      </c>
      <c r="R21" s="169">
        <v>575.79999999999995</v>
      </c>
      <c r="S21" s="169">
        <v>608.1</v>
      </c>
      <c r="T21" s="169">
        <v>696.7</v>
      </c>
      <c r="U21" s="169">
        <v>662.2</v>
      </c>
      <c r="V21" s="169">
        <v>740.9</v>
      </c>
      <c r="W21" s="169">
        <v>676</v>
      </c>
      <c r="X21" s="169">
        <v>702.1</v>
      </c>
      <c r="Y21" s="169">
        <v>709.6</v>
      </c>
      <c r="Z21" s="169">
        <v>673.2</v>
      </c>
      <c r="AB21" s="46">
        <v>42</v>
      </c>
      <c r="AC21" s="45" t="s">
        <v>21</v>
      </c>
      <c r="AD21" s="277">
        <v>5410</v>
      </c>
      <c r="AE21" s="266"/>
    </row>
    <row r="22" spans="1:37" ht="26" x14ac:dyDescent="0.35">
      <c r="A22" s="174" t="s">
        <v>84</v>
      </c>
      <c r="B22" s="175">
        <v>8900.4599999999991</v>
      </c>
      <c r="C22" s="175">
        <v>10469.709999999999</v>
      </c>
      <c r="D22" s="175">
        <v>15505.43</v>
      </c>
      <c r="E22" s="175">
        <v>17051.2</v>
      </c>
      <c r="F22" s="175">
        <v>11524.4</v>
      </c>
      <c r="G22" s="175">
        <v>12354.87</v>
      </c>
      <c r="H22" s="175">
        <v>13215.89</v>
      </c>
      <c r="I22" s="175">
        <v>11005.91</v>
      </c>
      <c r="J22" s="175">
        <v>20408.02</v>
      </c>
      <c r="K22" s="175">
        <v>11900.89</v>
      </c>
      <c r="L22" s="175">
        <v>12286.77</v>
      </c>
      <c r="M22" s="175">
        <v>13079.79</v>
      </c>
      <c r="N22" s="175">
        <v>14808.09</v>
      </c>
      <c r="O22" s="175">
        <v>28851.01</v>
      </c>
      <c r="P22" s="175">
        <v>44063.39</v>
      </c>
      <c r="Q22" s="175">
        <v>16825.080000000002</v>
      </c>
      <c r="R22" s="175">
        <v>25805.24</v>
      </c>
      <c r="S22" s="175">
        <v>25151.78</v>
      </c>
      <c r="T22" s="175">
        <v>50243.87</v>
      </c>
      <c r="U22" s="175">
        <v>101311.77</v>
      </c>
      <c r="V22" s="175">
        <v>41836</v>
      </c>
      <c r="W22" s="175">
        <v>33508.769999999997</v>
      </c>
      <c r="X22" s="175">
        <v>47810.78</v>
      </c>
      <c r="Y22" s="175">
        <v>45803.9</v>
      </c>
      <c r="Z22" s="175">
        <v>55302.09</v>
      </c>
      <c r="AA22" s="429">
        <f>Z4+Z14+Z17+Z18</f>
        <v>55302.1</v>
      </c>
      <c r="AB22" s="46"/>
      <c r="AC22" s="47" t="s">
        <v>48</v>
      </c>
      <c r="AD22" s="277">
        <v>644</v>
      </c>
      <c r="AE22" s="481" t="s">
        <v>233</v>
      </c>
    </row>
    <row r="23" spans="1:37" ht="15.5" x14ac:dyDescent="0.35">
      <c r="A23" s="164" t="s">
        <v>85</v>
      </c>
      <c r="B23" s="165">
        <v>8260.14</v>
      </c>
      <c r="C23" s="165">
        <v>9651.7900000000009</v>
      </c>
      <c r="D23" s="165">
        <v>13436.64</v>
      </c>
      <c r="E23" s="165">
        <v>13369.77</v>
      </c>
      <c r="F23" s="166">
        <v>6749.93</v>
      </c>
      <c r="G23" s="166">
        <v>7186.41</v>
      </c>
      <c r="H23" s="166">
        <v>8576.56</v>
      </c>
      <c r="I23" s="166">
        <v>7852.32</v>
      </c>
      <c r="J23" s="166">
        <v>13234.47</v>
      </c>
      <c r="K23" s="166">
        <v>9478.51</v>
      </c>
      <c r="L23" s="166">
        <v>9311.67</v>
      </c>
      <c r="M23" s="166">
        <v>9930.4</v>
      </c>
      <c r="N23" s="166">
        <v>9606.49</v>
      </c>
      <c r="O23" s="166">
        <v>6352.79</v>
      </c>
      <c r="P23" s="166">
        <v>1640.81</v>
      </c>
      <c r="Q23" s="166">
        <v>10377.83</v>
      </c>
      <c r="R23" s="166">
        <v>10816.59</v>
      </c>
      <c r="S23" s="166">
        <v>15557.9</v>
      </c>
      <c r="T23" s="166">
        <v>13717.71</v>
      </c>
      <c r="U23" s="166">
        <v>16619.96</v>
      </c>
      <c r="V23" s="166">
        <v>17179.5</v>
      </c>
      <c r="W23" s="166">
        <v>25729.26</v>
      </c>
      <c r="X23" s="166">
        <v>23264.52</v>
      </c>
      <c r="Y23" s="166">
        <v>24872.87</v>
      </c>
      <c r="Z23" s="166">
        <v>25030.7</v>
      </c>
      <c r="AB23" s="49" t="s">
        <v>22</v>
      </c>
      <c r="AC23" s="48" t="s">
        <v>23</v>
      </c>
      <c r="AD23" s="407">
        <v>53068</v>
      </c>
      <c r="AE23" s="266"/>
    </row>
    <row r="24" spans="1:37" ht="31" x14ac:dyDescent="0.35">
      <c r="A24" s="167" t="s">
        <v>86</v>
      </c>
      <c r="B24" s="168">
        <v>0</v>
      </c>
      <c r="C24" s="168">
        <v>0</v>
      </c>
      <c r="D24" s="168">
        <v>1789.82</v>
      </c>
      <c r="E24" s="168">
        <v>1850.05</v>
      </c>
      <c r="F24" s="169">
        <v>1925.13</v>
      </c>
      <c r="G24" s="169">
        <v>2000.7</v>
      </c>
      <c r="H24" s="169">
        <v>2235.54</v>
      </c>
      <c r="I24" s="169">
        <v>2445.31</v>
      </c>
      <c r="J24" s="169">
        <v>2774.37</v>
      </c>
      <c r="K24" s="169">
        <v>3256.35</v>
      </c>
      <c r="L24" s="169">
        <v>2971.19</v>
      </c>
      <c r="M24" s="169">
        <v>2962.64</v>
      </c>
      <c r="N24" s="169">
        <v>3272.12</v>
      </c>
      <c r="O24" s="169">
        <v>3620.92</v>
      </c>
      <c r="P24" s="169">
        <v>3496.9</v>
      </c>
      <c r="Q24" s="169">
        <v>3328.48</v>
      </c>
      <c r="R24" s="169">
        <v>3029.62</v>
      </c>
      <c r="S24" s="169">
        <v>3838.06</v>
      </c>
      <c r="T24" s="169">
        <v>4828.68</v>
      </c>
      <c r="U24" s="169">
        <v>5137.87</v>
      </c>
      <c r="V24" s="169">
        <v>5380.9</v>
      </c>
      <c r="W24" s="169">
        <v>6385.02</v>
      </c>
      <c r="X24" s="169">
        <v>7303.95</v>
      </c>
      <c r="Y24" s="169">
        <v>8351.69</v>
      </c>
      <c r="Z24" s="169">
        <v>9312.11</v>
      </c>
      <c r="AB24" s="44">
        <v>5</v>
      </c>
      <c r="AC24" s="43" t="s">
        <v>24</v>
      </c>
      <c r="AD24" s="278">
        <v>38126</v>
      </c>
      <c r="AE24" s="266"/>
    </row>
    <row r="25" spans="1:37" ht="15.5" x14ac:dyDescent="0.35">
      <c r="A25" s="167" t="s">
        <v>87</v>
      </c>
      <c r="B25" s="168">
        <v>0</v>
      </c>
      <c r="C25" s="168">
        <v>0</v>
      </c>
      <c r="D25" s="168">
        <v>2549.1</v>
      </c>
      <c r="E25" s="168">
        <v>2296.86</v>
      </c>
      <c r="F25" s="169">
        <v>2725.24</v>
      </c>
      <c r="G25" s="169">
        <v>2936.99</v>
      </c>
      <c r="H25" s="169">
        <v>3272.28</v>
      </c>
      <c r="I25" s="169">
        <v>3262.94</v>
      </c>
      <c r="J25" s="169">
        <v>8139.01</v>
      </c>
      <c r="K25" s="169">
        <v>4015.54</v>
      </c>
      <c r="L25" s="169">
        <v>3613.86</v>
      </c>
      <c r="M25" s="169">
        <v>3866.54</v>
      </c>
      <c r="N25" s="169">
        <v>4135.95</v>
      </c>
      <c r="O25" s="169">
        <v>3839.89</v>
      </c>
      <c r="P25" s="169">
        <v>4600.3100000000004</v>
      </c>
      <c r="Q25" s="169">
        <v>4824.6499999999996</v>
      </c>
      <c r="R25" s="169">
        <v>5183.16</v>
      </c>
      <c r="S25" s="169">
        <v>8540.08</v>
      </c>
      <c r="T25" s="169">
        <v>7735.16</v>
      </c>
      <c r="U25" s="169">
        <v>9117.98</v>
      </c>
      <c r="V25" s="169">
        <v>9087.4</v>
      </c>
      <c r="W25" s="169">
        <v>16510.5</v>
      </c>
      <c r="X25" s="169">
        <v>9094.86</v>
      </c>
      <c r="Y25" s="169">
        <v>12669.45</v>
      </c>
      <c r="Z25" s="169">
        <v>11127.12</v>
      </c>
      <c r="AB25" s="46">
        <v>50</v>
      </c>
      <c r="AC25" s="45" t="s">
        <v>25</v>
      </c>
      <c r="AD25" s="277">
        <v>9728</v>
      </c>
      <c r="AE25" s="266"/>
    </row>
    <row r="26" spans="1:37" s="262" customFormat="1" ht="28.5" x14ac:dyDescent="0.65">
      <c r="A26" s="272" t="s">
        <v>88</v>
      </c>
      <c r="B26" s="168">
        <v>0</v>
      </c>
      <c r="C26" s="168">
        <v>0</v>
      </c>
      <c r="D26" s="168">
        <v>0</v>
      </c>
      <c r="E26" s="168">
        <v>0</v>
      </c>
      <c r="F26" s="169">
        <v>0</v>
      </c>
      <c r="G26" s="169">
        <v>0</v>
      </c>
      <c r="H26" s="172">
        <v>0</v>
      </c>
      <c r="I26" s="172">
        <v>0</v>
      </c>
      <c r="J26" s="172">
        <v>0</v>
      </c>
      <c r="K26" s="172">
        <v>0</v>
      </c>
      <c r="L26" s="172">
        <v>0</v>
      </c>
      <c r="M26" s="172">
        <v>0</v>
      </c>
      <c r="N26" s="259">
        <v>329.69600000000003</v>
      </c>
      <c r="O26" s="259">
        <v>226.18720000000002</v>
      </c>
      <c r="P26" s="259">
        <v>266.05399999999997</v>
      </c>
      <c r="Q26" s="259">
        <v>252.1122</v>
      </c>
      <c r="R26" s="259">
        <v>406.01640000000003</v>
      </c>
      <c r="S26" s="259">
        <v>347.2448</v>
      </c>
      <c r="T26" s="259">
        <v>393.34899999999999</v>
      </c>
      <c r="U26" s="259">
        <v>185</v>
      </c>
      <c r="V26" s="259">
        <v>187.19</v>
      </c>
      <c r="W26" s="259">
        <v>236.4</v>
      </c>
      <c r="X26" s="259">
        <v>165.5</v>
      </c>
      <c r="Y26" s="259">
        <v>293</v>
      </c>
      <c r="Z26" s="259">
        <v>245</v>
      </c>
      <c r="AA26" s="266"/>
      <c r="AB26" s="2">
        <v>51</v>
      </c>
      <c r="AC26" s="3" t="s">
        <v>186</v>
      </c>
      <c r="AD26" s="277">
        <v>15171</v>
      </c>
      <c r="AE26" s="410"/>
      <c r="AF26" s="464" t="s">
        <v>213</v>
      </c>
      <c r="AG26" s="464" t="s">
        <v>214</v>
      </c>
      <c r="AH26" s="479" t="s">
        <v>227</v>
      </c>
    </row>
    <row r="27" spans="1:37" ht="59.5" customHeight="1" x14ac:dyDescent="0.65">
      <c r="A27" s="466" t="s">
        <v>222</v>
      </c>
      <c r="B27" s="168">
        <v>0</v>
      </c>
      <c r="C27" s="168">
        <v>0</v>
      </c>
      <c r="D27" s="168">
        <v>8517.31</v>
      </c>
      <c r="E27" s="168">
        <v>8818.4699999999993</v>
      </c>
      <c r="F27" s="169">
        <v>1858.97</v>
      </c>
      <c r="G27" s="169">
        <v>1805.11</v>
      </c>
      <c r="H27" s="172">
        <v>2051.6799999999998</v>
      </c>
      <c r="I27" s="172">
        <v>2054.98</v>
      </c>
      <c r="J27" s="172">
        <v>2139.29</v>
      </c>
      <c r="K27" s="172">
        <v>2085.89</v>
      </c>
      <c r="L27" s="172">
        <v>2615</v>
      </c>
      <c r="M27" s="172">
        <v>2456.9</v>
      </c>
      <c r="N27" s="259">
        <v>1795.5626</v>
      </c>
      <c r="O27" s="259">
        <v>1856.84087</v>
      </c>
      <c r="P27" s="259">
        <v>1866.0743600000001</v>
      </c>
      <c r="Q27" s="259">
        <v>1849.2852600000001</v>
      </c>
      <c r="R27" s="259">
        <v>1987.2380000000001</v>
      </c>
      <c r="S27" s="259">
        <v>3441.0839999999998</v>
      </c>
      <c r="T27" s="259">
        <v>1754.7</v>
      </c>
      <c r="U27" s="259">
        <v>2121.6999999999998</v>
      </c>
      <c r="V27" s="259">
        <v>2577.6329999999998</v>
      </c>
      <c r="W27" s="259">
        <v>2017.5989999999999</v>
      </c>
      <c r="X27" s="259">
        <v>5020.0808999999999</v>
      </c>
      <c r="Y27" s="259">
        <v>2893.9</v>
      </c>
      <c r="Z27" s="259">
        <v>3573.8791000000001</v>
      </c>
      <c r="AA27" s="410"/>
      <c r="AB27" s="46">
        <v>52</v>
      </c>
      <c r="AC27" s="45" t="s">
        <v>26</v>
      </c>
      <c r="AD27" s="277">
        <v>2844</v>
      </c>
      <c r="AE27" s="465" t="s">
        <v>230</v>
      </c>
      <c r="AF27" s="464" t="s">
        <v>234</v>
      </c>
      <c r="AG27" s="464"/>
      <c r="AH27" s="464"/>
      <c r="AI27" s="464"/>
    </row>
    <row r="28" spans="1:37" ht="46.5" x14ac:dyDescent="0.35">
      <c r="A28" s="167" t="s">
        <v>276</v>
      </c>
      <c r="B28" s="168">
        <v>0</v>
      </c>
      <c r="C28" s="168">
        <v>0</v>
      </c>
      <c r="D28" s="168">
        <v>6</v>
      </c>
      <c r="E28" s="168">
        <v>0</v>
      </c>
      <c r="F28" s="169">
        <v>0</v>
      </c>
      <c r="G28" s="169">
        <v>0</v>
      </c>
      <c r="H28" s="172">
        <v>0</v>
      </c>
      <c r="I28" s="172">
        <v>0</v>
      </c>
      <c r="J28" s="172">
        <v>3.24</v>
      </c>
      <c r="K28" s="172">
        <v>2.04</v>
      </c>
      <c r="L28" s="172">
        <v>12.81</v>
      </c>
      <c r="M28" s="172">
        <v>6.09</v>
      </c>
      <c r="N28" s="259">
        <v>73.161400000000185</v>
      </c>
      <c r="O28" s="259">
        <v>-3191.0480699999998</v>
      </c>
      <c r="P28" s="259">
        <v>-8588.5283600000002</v>
      </c>
      <c r="Q28" s="259">
        <v>123.30254000000059</v>
      </c>
      <c r="R28" s="259">
        <v>210.55560000000037</v>
      </c>
      <c r="S28" s="259">
        <v>-608.56879999999956</v>
      </c>
      <c r="T28" s="259">
        <v>-994.179000000001</v>
      </c>
      <c r="U28" s="259">
        <v>57.410000000000764</v>
      </c>
      <c r="V28" s="259">
        <v>-53.622999999999138</v>
      </c>
      <c r="W28" s="259">
        <v>579.74099999999794</v>
      </c>
      <c r="X28" s="259">
        <v>1680.1290999999992</v>
      </c>
      <c r="Y28" s="259">
        <v>664.82999999999947</v>
      </c>
      <c r="Z28" s="259">
        <v>772.59089999999924</v>
      </c>
      <c r="AB28" s="46">
        <v>533</v>
      </c>
      <c r="AC28" s="45" t="s">
        <v>268</v>
      </c>
      <c r="AD28" s="277">
        <v>9668</v>
      </c>
      <c r="AE28" s="266">
        <v>51286</v>
      </c>
    </row>
    <row r="29" spans="1:37" ht="25" x14ac:dyDescent="0.35">
      <c r="A29" s="164" t="s">
        <v>89</v>
      </c>
      <c r="B29" s="165">
        <v>1895.73</v>
      </c>
      <c r="C29" s="165">
        <v>245.55</v>
      </c>
      <c r="D29" s="165">
        <v>1295.1099999999999</v>
      </c>
      <c r="E29" s="165">
        <v>3051.89</v>
      </c>
      <c r="F29" s="166">
        <v>4780.29</v>
      </c>
      <c r="G29" s="166">
        <v>641.53</v>
      </c>
      <c r="H29" s="166">
        <v>5177.1000000000004</v>
      </c>
      <c r="I29" s="166">
        <v>1226.99</v>
      </c>
      <c r="J29" s="166">
        <v>433.6</v>
      </c>
      <c r="K29" s="166">
        <v>1473.51</v>
      </c>
      <c r="L29" s="166">
        <v>1537.49</v>
      </c>
      <c r="M29" s="166">
        <v>1924.3</v>
      </c>
      <c r="N29" s="166">
        <v>2364.4</v>
      </c>
      <c r="O29" s="166">
        <v>20845.96</v>
      </c>
      <c r="P29" s="166">
        <v>51162.47</v>
      </c>
      <c r="Q29" s="166">
        <v>506.63</v>
      </c>
      <c r="R29" s="166">
        <v>9156.0300000000007</v>
      </c>
      <c r="S29" s="166">
        <v>8350.94</v>
      </c>
      <c r="T29" s="166">
        <v>15611.04</v>
      </c>
      <c r="U29" s="166">
        <v>105570.06</v>
      </c>
      <c r="V29" s="166">
        <v>40208</v>
      </c>
      <c r="W29" s="166">
        <v>8530.9599999999991</v>
      </c>
      <c r="X29" s="166">
        <v>17655.599999999999</v>
      </c>
      <c r="Y29" s="166">
        <v>46531.39</v>
      </c>
      <c r="Z29" s="166">
        <v>12597.39</v>
      </c>
      <c r="AB29" s="46" t="s">
        <v>260</v>
      </c>
      <c r="AC29" s="45" t="s">
        <v>187</v>
      </c>
      <c r="AD29" s="413">
        <f>AD24-AD25-AD26-AD27-AD28-AD30</f>
        <v>705</v>
      </c>
      <c r="AE29" s="266"/>
    </row>
    <row r="30" spans="1:37" ht="15.5" x14ac:dyDescent="0.3">
      <c r="A30" s="174" t="s">
        <v>90</v>
      </c>
      <c r="B30" s="175">
        <v>10155.870000000001</v>
      </c>
      <c r="C30" s="175">
        <v>9897.34</v>
      </c>
      <c r="D30" s="175">
        <v>14731.75</v>
      </c>
      <c r="E30" s="175">
        <v>16421.66</v>
      </c>
      <c r="F30" s="175">
        <v>11530.22</v>
      </c>
      <c r="G30" s="175">
        <v>7827.94</v>
      </c>
      <c r="H30" s="175">
        <v>13753.66</v>
      </c>
      <c r="I30" s="175">
        <v>9079.31</v>
      </c>
      <c r="J30" s="175">
        <v>13668.07</v>
      </c>
      <c r="K30" s="175">
        <v>10952.02</v>
      </c>
      <c r="L30" s="175">
        <v>10849.15</v>
      </c>
      <c r="M30" s="175">
        <v>11854.7</v>
      </c>
      <c r="N30" s="175">
        <v>11970.89</v>
      </c>
      <c r="O30" s="175">
        <v>27198.75</v>
      </c>
      <c r="P30" s="175">
        <v>52803.29</v>
      </c>
      <c r="Q30" s="175">
        <v>10884.47</v>
      </c>
      <c r="R30" s="175">
        <v>19972.62</v>
      </c>
      <c r="S30" s="175">
        <v>23908.84</v>
      </c>
      <c r="T30" s="175">
        <v>29328.75</v>
      </c>
      <c r="U30" s="175">
        <v>122190.02</v>
      </c>
      <c r="V30" s="175">
        <v>57387.5</v>
      </c>
      <c r="W30" s="175">
        <v>34260.22</v>
      </c>
      <c r="X30" s="175">
        <v>40920.120000000003</v>
      </c>
      <c r="Y30" s="175">
        <v>71404.259999999995</v>
      </c>
      <c r="Z30" s="175">
        <v>37628.1</v>
      </c>
      <c r="AA30" s="429">
        <f>Z23+Z29</f>
        <v>37628.089999999997</v>
      </c>
      <c r="AB30" s="46">
        <v>59</v>
      </c>
      <c r="AC30" s="45" t="s">
        <v>27</v>
      </c>
      <c r="AD30" s="420">
        <v>10</v>
      </c>
      <c r="AE30" s="516" t="s">
        <v>231</v>
      </c>
      <c r="AF30" s="468"/>
    </row>
    <row r="31" spans="1:37" ht="15.5" x14ac:dyDescent="0.3">
      <c r="A31" s="174" t="s">
        <v>91</v>
      </c>
      <c r="B31" s="175">
        <v>-1255.4100000000001</v>
      </c>
      <c r="C31" s="175">
        <v>572.37</v>
      </c>
      <c r="D31" s="175">
        <v>773.68</v>
      </c>
      <c r="E31" s="175">
        <v>629.54</v>
      </c>
      <c r="F31" s="175">
        <v>-5.82</v>
      </c>
      <c r="G31" s="175">
        <v>4526.93</v>
      </c>
      <c r="H31" s="175">
        <v>-537.77</v>
      </c>
      <c r="I31" s="175">
        <v>1926.6</v>
      </c>
      <c r="J31" s="175">
        <v>6739.95</v>
      </c>
      <c r="K31" s="175">
        <v>948.87</v>
      </c>
      <c r="L31" s="175">
        <v>1437.61</v>
      </c>
      <c r="M31" s="175">
        <v>1225.0899999999999</v>
      </c>
      <c r="N31" s="175">
        <v>2837.2</v>
      </c>
      <c r="O31" s="175">
        <v>1652.26</v>
      </c>
      <c r="P31" s="175">
        <v>-8739.9</v>
      </c>
      <c r="Q31" s="175">
        <v>5940.62</v>
      </c>
      <c r="R31" s="175">
        <v>5832.62</v>
      </c>
      <c r="S31" s="175">
        <v>1242.94</v>
      </c>
      <c r="T31" s="175">
        <v>20915.11</v>
      </c>
      <c r="U31" s="175">
        <v>-20878.25</v>
      </c>
      <c r="V31" s="175">
        <v>-15551.5</v>
      </c>
      <c r="W31" s="175">
        <v>-751.45</v>
      </c>
      <c r="X31" s="175">
        <v>6890.66</v>
      </c>
      <c r="Y31" s="175">
        <v>-25600.36</v>
      </c>
      <c r="Z31" s="175">
        <v>17673.990000000002</v>
      </c>
      <c r="AA31" s="429">
        <f>Z22-Z30</f>
        <v>17673.989999999998</v>
      </c>
      <c r="AB31" s="44">
        <v>6</v>
      </c>
      <c r="AC31" s="43" t="s">
        <v>99</v>
      </c>
      <c r="AD31" s="278">
        <v>18244</v>
      </c>
      <c r="AE31" s="266"/>
    </row>
    <row r="32" spans="1:37" ht="15.5" x14ac:dyDescent="0.35">
      <c r="A32" s="164" t="s">
        <v>92</v>
      </c>
      <c r="B32" s="165">
        <v>0</v>
      </c>
      <c r="C32" s="165">
        <v>0</v>
      </c>
      <c r="D32" s="165">
        <v>-773.66</v>
      </c>
      <c r="E32" s="165">
        <v>-629.57000000000005</v>
      </c>
      <c r="F32" s="166">
        <v>5.81</v>
      </c>
      <c r="G32" s="166">
        <v>-4526.91</v>
      </c>
      <c r="H32" s="166">
        <v>537.74</v>
      </c>
      <c r="I32" s="166">
        <v>-1926.58</v>
      </c>
      <c r="J32" s="166">
        <v>-6739.93</v>
      </c>
      <c r="K32" s="166">
        <v>-948.87</v>
      </c>
      <c r="L32" s="166">
        <v>-1437.61</v>
      </c>
      <c r="M32" s="166">
        <v>-1225.0899999999999</v>
      </c>
      <c r="N32" s="166">
        <v>-2837.2</v>
      </c>
      <c r="O32" s="166">
        <v>-1652.26</v>
      </c>
      <c r="P32" s="166">
        <v>8739.9</v>
      </c>
      <c r="Q32" s="166">
        <v>-5940.62</v>
      </c>
      <c r="R32" s="166">
        <v>-5832.62</v>
      </c>
      <c r="S32" s="166">
        <v>-1242.94</v>
      </c>
      <c r="T32" s="166">
        <v>-20915.11</v>
      </c>
      <c r="U32" s="166">
        <v>20878.25</v>
      </c>
      <c r="V32" s="166">
        <v>15551.5</v>
      </c>
      <c r="W32" s="166">
        <v>751.45</v>
      </c>
      <c r="X32" s="166">
        <v>-6890.66</v>
      </c>
      <c r="Y32" s="166">
        <v>25600.36</v>
      </c>
      <c r="Z32" s="166">
        <v>-17673.990000000002</v>
      </c>
      <c r="AB32" s="49" t="s">
        <v>28</v>
      </c>
      <c r="AC32" s="48" t="s">
        <v>29</v>
      </c>
      <c r="AD32" s="278">
        <v>56370</v>
      </c>
      <c r="AE32" s="266"/>
    </row>
    <row r="33" spans="1:31" ht="15.5" x14ac:dyDescent="0.35">
      <c r="A33" s="272" t="s">
        <v>93</v>
      </c>
      <c r="B33" s="168">
        <v>0</v>
      </c>
      <c r="C33" s="168">
        <v>0</v>
      </c>
      <c r="D33" s="168">
        <v>0</v>
      </c>
      <c r="E33" s="168">
        <v>0</v>
      </c>
      <c r="F33" s="169">
        <v>0</v>
      </c>
      <c r="G33" s="169">
        <v>0</v>
      </c>
      <c r="H33" s="169">
        <v>0</v>
      </c>
      <c r="I33" s="169">
        <v>0</v>
      </c>
      <c r="J33" s="169">
        <v>0</v>
      </c>
      <c r="K33" s="169">
        <v>0</v>
      </c>
      <c r="L33" s="169">
        <v>0</v>
      </c>
      <c r="M33" s="169">
        <v>0</v>
      </c>
      <c r="N33" s="169">
        <v>0</v>
      </c>
      <c r="O33" s="259">
        <v>0</v>
      </c>
      <c r="P33" s="259">
        <v>0</v>
      </c>
      <c r="Q33" s="259">
        <v>0</v>
      </c>
      <c r="R33" s="259">
        <v>0</v>
      </c>
      <c r="S33" s="259">
        <v>0</v>
      </c>
      <c r="T33" s="259">
        <v>0</v>
      </c>
      <c r="U33" s="259">
        <v>0</v>
      </c>
      <c r="V33" s="259">
        <v>0</v>
      </c>
      <c r="W33" s="259">
        <v>0</v>
      </c>
      <c r="X33" s="259">
        <v>0</v>
      </c>
      <c r="Y33" s="259">
        <v>16709.490000000002</v>
      </c>
      <c r="Z33" s="259">
        <v>0</v>
      </c>
      <c r="AB33" s="51" t="s">
        <v>30</v>
      </c>
      <c r="AC33" s="50" t="s">
        <v>31</v>
      </c>
      <c r="AD33" s="408">
        <f>AD23-AD32</f>
        <v>-3302</v>
      </c>
      <c r="AE33" s="266"/>
    </row>
    <row r="34" spans="1:31" ht="15.5" x14ac:dyDescent="0.35">
      <c r="A34" s="272" t="s">
        <v>194</v>
      </c>
      <c r="B34" s="168">
        <v>0</v>
      </c>
      <c r="C34" s="168">
        <v>0</v>
      </c>
      <c r="D34" s="168">
        <v>-180</v>
      </c>
      <c r="E34" s="168">
        <v>-130</v>
      </c>
      <c r="F34" s="169">
        <v>-260</v>
      </c>
      <c r="G34" s="169">
        <v>0</v>
      </c>
      <c r="H34" s="169">
        <v>0</v>
      </c>
      <c r="I34" s="169">
        <v>0</v>
      </c>
      <c r="J34" s="169">
        <v>0</v>
      </c>
      <c r="K34" s="169">
        <v>0</v>
      </c>
      <c r="L34" s="169">
        <v>0</v>
      </c>
      <c r="M34" s="169">
        <v>0</v>
      </c>
      <c r="N34" s="169">
        <v>0</v>
      </c>
      <c r="O34" s="259">
        <v>0</v>
      </c>
      <c r="P34" s="259">
        <v>0</v>
      </c>
      <c r="Q34" s="259">
        <v>0</v>
      </c>
      <c r="R34" s="259">
        <v>0</v>
      </c>
      <c r="S34" s="259">
        <v>0</v>
      </c>
      <c r="T34" s="259">
        <v>0</v>
      </c>
      <c r="U34" s="259">
        <v>0</v>
      </c>
      <c r="V34" s="259">
        <v>0</v>
      </c>
      <c r="W34" s="259">
        <v>0</v>
      </c>
      <c r="X34" s="259">
        <v>0</v>
      </c>
      <c r="Y34" s="259">
        <v>-754.72</v>
      </c>
      <c r="Z34" s="259">
        <v>-15954.77</v>
      </c>
      <c r="AB34" s="46" t="s">
        <v>32</v>
      </c>
      <c r="AC34" s="45" t="s">
        <v>33</v>
      </c>
      <c r="AD34" s="273"/>
      <c r="AE34" s="266"/>
    </row>
    <row r="35" spans="1:31" ht="31" x14ac:dyDescent="0.35">
      <c r="A35" s="167" t="s">
        <v>94</v>
      </c>
      <c r="B35" s="168">
        <v>0</v>
      </c>
      <c r="C35" s="168">
        <v>0</v>
      </c>
      <c r="D35" s="168">
        <v>-705.14</v>
      </c>
      <c r="E35" s="168">
        <v>-540.64</v>
      </c>
      <c r="F35" s="169">
        <v>251.93</v>
      </c>
      <c r="G35" s="169">
        <v>-4558.88</v>
      </c>
      <c r="H35" s="169">
        <v>544.88</v>
      </c>
      <c r="I35" s="169">
        <v>-1961.44</v>
      </c>
      <c r="J35" s="169">
        <v>-6810.59</v>
      </c>
      <c r="K35" s="169">
        <v>-927.24</v>
      </c>
      <c r="L35" s="169">
        <v>-1407.34</v>
      </c>
      <c r="M35" s="169">
        <v>-1282.5899999999999</v>
      </c>
      <c r="N35" s="169">
        <v>-2843.61</v>
      </c>
      <c r="O35" s="169">
        <v>-1621.6</v>
      </c>
      <c r="P35" s="169">
        <v>9066.82</v>
      </c>
      <c r="Q35" s="169">
        <v>-6025.62</v>
      </c>
      <c r="R35" s="169">
        <v>-5732.62</v>
      </c>
      <c r="S35" s="169">
        <v>-1242.94</v>
      </c>
      <c r="T35" s="169">
        <v>-20915.11</v>
      </c>
      <c r="U35" s="169">
        <v>20878.25</v>
      </c>
      <c r="V35" s="169">
        <v>15551.5</v>
      </c>
      <c r="W35" s="169">
        <v>751.45</v>
      </c>
      <c r="X35" s="169">
        <v>-6890.66</v>
      </c>
      <c r="Y35" s="169">
        <v>9645.59</v>
      </c>
      <c r="Z35" s="169">
        <v>-1729.22</v>
      </c>
      <c r="AB35" s="46">
        <v>5</v>
      </c>
      <c r="AC35" s="45" t="s">
        <v>34</v>
      </c>
      <c r="AD35" s="273"/>
      <c r="AE35" s="266"/>
    </row>
    <row r="36" spans="1:31" ht="15.5" x14ac:dyDescent="0.35">
      <c r="A36" s="167" t="s">
        <v>277</v>
      </c>
      <c r="B36" s="168">
        <v>0</v>
      </c>
      <c r="C36" s="168">
        <v>0</v>
      </c>
      <c r="D36" s="168">
        <v>1781.42</v>
      </c>
      <c r="E36" s="168">
        <v>4208.12</v>
      </c>
      <c r="F36" s="169">
        <v>2070.13</v>
      </c>
      <c r="G36" s="169">
        <v>6629.01</v>
      </c>
      <c r="H36" s="169">
        <v>6084.13</v>
      </c>
      <c r="I36" s="169">
        <v>8045.57</v>
      </c>
      <c r="J36" s="169">
        <v>14856.16</v>
      </c>
      <c r="K36" s="169">
        <v>15783.4</v>
      </c>
      <c r="L36" s="169">
        <v>17191</v>
      </c>
      <c r="M36" s="169">
        <v>18473.39</v>
      </c>
      <c r="N36" s="434">
        <v>22564.251800000002</v>
      </c>
      <c r="O36" s="434">
        <v>23830.419449999998</v>
      </c>
      <c r="P36" s="434">
        <v>15374.77824</v>
      </c>
      <c r="Q36" s="434">
        <v>20688.119190000001</v>
      </c>
      <c r="R36" s="434">
        <v>26077.906429999999</v>
      </c>
      <c r="S36" s="434">
        <v>28284.134289999998</v>
      </c>
      <c r="T36" s="434">
        <v>49917.503960000002</v>
      </c>
      <c r="U36" s="434">
        <v>29917.509959999999</v>
      </c>
      <c r="V36" s="259">
        <v>14204.01964</v>
      </c>
      <c r="W36" s="259">
        <v>13180.112949999999</v>
      </c>
      <c r="X36" s="259">
        <v>20710.476649999997</v>
      </c>
      <c r="Y36" s="259">
        <v>12042.01359</v>
      </c>
      <c r="Z36" s="259">
        <v>12134.72443</v>
      </c>
      <c r="AB36" s="51" t="s">
        <v>35</v>
      </c>
      <c r="AC36" s="50" t="s">
        <v>36</v>
      </c>
      <c r="AD36" s="275"/>
      <c r="AE36" s="266"/>
    </row>
    <row r="37" spans="1:31" ht="15.5" x14ac:dyDescent="0.3">
      <c r="A37" s="174" t="s">
        <v>95</v>
      </c>
      <c r="B37" s="177">
        <v>2001</v>
      </c>
      <c r="C37" s="177">
        <v>2002</v>
      </c>
      <c r="D37" s="177">
        <v>2003</v>
      </c>
      <c r="E37" s="177">
        <v>2004</v>
      </c>
      <c r="F37" s="177">
        <v>2005</v>
      </c>
      <c r="G37" s="177">
        <v>2006</v>
      </c>
      <c r="H37" s="177">
        <v>2007</v>
      </c>
      <c r="I37" s="177">
        <v>2008</v>
      </c>
      <c r="J37" s="177">
        <v>2009</v>
      </c>
      <c r="K37" s="177">
        <v>2010</v>
      </c>
      <c r="L37" s="177">
        <v>2011</v>
      </c>
      <c r="M37" s="177">
        <v>2012</v>
      </c>
      <c r="N37" s="177">
        <v>2013</v>
      </c>
      <c r="O37" s="177">
        <v>2014</v>
      </c>
      <c r="P37" s="177">
        <v>2015</v>
      </c>
      <c r="Q37" s="177">
        <v>2016</v>
      </c>
      <c r="R37" s="177">
        <v>2017</v>
      </c>
      <c r="S37" s="177">
        <v>2018</v>
      </c>
      <c r="T37" s="177">
        <v>2019</v>
      </c>
      <c r="U37" s="177">
        <v>2020</v>
      </c>
      <c r="V37" s="177">
        <v>2021</v>
      </c>
      <c r="W37" s="177">
        <v>2022</v>
      </c>
      <c r="X37" s="177">
        <v>2023</v>
      </c>
      <c r="Y37" s="177">
        <v>2024</v>
      </c>
      <c r="Z37" s="177">
        <v>2025</v>
      </c>
      <c r="AA37" s="266">
        <v>35</v>
      </c>
      <c r="AB37" s="53">
        <v>8123</v>
      </c>
      <c r="AC37" s="52" t="s">
        <v>60</v>
      </c>
      <c r="AD37" s="420"/>
      <c r="AE37" s="266"/>
    </row>
    <row r="38" spans="1:31" ht="15.5" x14ac:dyDescent="0.35">
      <c r="A38" s="167" t="s">
        <v>96</v>
      </c>
      <c r="B38" s="168">
        <v>962</v>
      </c>
      <c r="C38" s="168">
        <v>943</v>
      </c>
      <c r="D38" s="168">
        <v>961</v>
      </c>
      <c r="E38" s="168">
        <v>972</v>
      </c>
      <c r="F38" s="169">
        <v>999</v>
      </c>
      <c r="G38" s="169">
        <v>1007</v>
      </c>
      <c r="H38" s="169">
        <v>1022</v>
      </c>
      <c r="I38" s="169">
        <v>1020</v>
      </c>
      <c r="J38" s="169">
        <v>1057</v>
      </c>
      <c r="K38" s="169">
        <v>1078</v>
      </c>
      <c r="L38" s="169">
        <v>1090</v>
      </c>
      <c r="M38" s="169">
        <v>1104</v>
      </c>
      <c r="N38" s="176">
        <v>1105</v>
      </c>
      <c r="O38" s="176">
        <v>1109</v>
      </c>
      <c r="P38" s="176">
        <v>1123</v>
      </c>
      <c r="Q38" s="169">
        <v>1136</v>
      </c>
      <c r="R38" s="169">
        <v>1162</v>
      </c>
      <c r="S38" s="169">
        <v>1185</v>
      </c>
      <c r="T38" s="169">
        <v>1197</v>
      </c>
      <c r="U38" s="169">
        <v>1229</v>
      </c>
      <c r="V38" s="169">
        <v>1207</v>
      </c>
      <c r="W38" s="169">
        <v>1227</v>
      </c>
      <c r="X38" s="169">
        <v>1245</v>
      </c>
      <c r="Y38" s="169">
        <v>1261</v>
      </c>
      <c r="Z38" s="169">
        <v>1261</v>
      </c>
      <c r="AA38" s="266">
        <v>36</v>
      </c>
      <c r="AB38" s="53">
        <v>8124</v>
      </c>
      <c r="AC38" s="52" t="s">
        <v>61</v>
      </c>
      <c r="AD38" s="420"/>
      <c r="AE38" s="266"/>
    </row>
    <row r="39" spans="1:31" ht="25" x14ac:dyDescent="0.35">
      <c r="A39" s="167" t="s">
        <v>97</v>
      </c>
      <c r="B39" s="167">
        <v>260</v>
      </c>
      <c r="C39" s="167">
        <v>264</v>
      </c>
      <c r="D39" s="167">
        <v>221</v>
      </c>
      <c r="E39" s="167">
        <v>239</v>
      </c>
      <c r="F39" s="169">
        <v>178</v>
      </c>
      <c r="G39" s="178">
        <v>194</v>
      </c>
      <c r="H39" s="169">
        <v>190</v>
      </c>
      <c r="I39" s="169">
        <v>225</v>
      </c>
      <c r="J39" s="169">
        <v>233</v>
      </c>
      <c r="K39" s="169">
        <v>199</v>
      </c>
      <c r="L39" s="178">
        <v>168</v>
      </c>
      <c r="M39" s="169">
        <v>171</v>
      </c>
      <c r="N39" s="176">
        <v>177</v>
      </c>
      <c r="O39" s="176">
        <v>208</v>
      </c>
      <c r="P39" s="176">
        <v>195</v>
      </c>
      <c r="Q39" s="169">
        <v>190</v>
      </c>
      <c r="R39" s="169">
        <v>211</v>
      </c>
      <c r="S39" s="169">
        <v>221</v>
      </c>
      <c r="T39" s="169">
        <v>217</v>
      </c>
      <c r="U39" s="169">
        <v>187</v>
      </c>
      <c r="V39" s="169">
        <v>214</v>
      </c>
      <c r="W39" s="169">
        <v>228</v>
      </c>
      <c r="X39" s="169">
        <v>231</v>
      </c>
      <c r="Y39" s="169">
        <v>250</v>
      </c>
      <c r="Z39" s="169">
        <v>250</v>
      </c>
      <c r="AA39" s="266">
        <v>37</v>
      </c>
      <c r="AB39" s="46" t="s">
        <v>37</v>
      </c>
      <c r="AC39" s="45" t="s">
        <v>59</v>
      </c>
      <c r="AD39" s="273"/>
      <c r="AE39" s="266"/>
    </row>
    <row r="40" spans="1:31" ht="15.5" x14ac:dyDescent="0.35">
      <c r="A40" s="167" t="s">
        <v>112</v>
      </c>
      <c r="B40" s="167" t="s">
        <v>250</v>
      </c>
      <c r="C40" s="167" t="s">
        <v>250</v>
      </c>
      <c r="D40" s="167" t="s">
        <v>250</v>
      </c>
      <c r="E40" s="167" t="s">
        <v>250</v>
      </c>
      <c r="F40" s="169" t="s">
        <v>250</v>
      </c>
      <c r="G40" s="178" t="s">
        <v>250</v>
      </c>
      <c r="H40" s="169" t="s">
        <v>250</v>
      </c>
      <c r="I40" s="169" t="s">
        <v>250</v>
      </c>
      <c r="J40" s="169" t="s">
        <v>250</v>
      </c>
      <c r="K40" s="169" t="s">
        <v>250</v>
      </c>
      <c r="L40" s="178">
        <v>226</v>
      </c>
      <c r="M40" s="169">
        <v>233</v>
      </c>
      <c r="N40" s="176">
        <v>261</v>
      </c>
      <c r="O40" s="176">
        <v>277</v>
      </c>
      <c r="P40" s="176">
        <v>277</v>
      </c>
      <c r="Q40" s="169">
        <v>300</v>
      </c>
      <c r="R40" s="169">
        <v>302</v>
      </c>
      <c r="S40" s="169">
        <v>308</v>
      </c>
      <c r="T40" s="169">
        <v>306</v>
      </c>
      <c r="U40" s="169">
        <v>318</v>
      </c>
      <c r="V40" s="169">
        <v>332</v>
      </c>
      <c r="W40" s="169">
        <v>354</v>
      </c>
      <c r="X40" s="169">
        <v>343</v>
      </c>
      <c r="Y40" s="169">
        <v>334</v>
      </c>
      <c r="Z40" s="169">
        <v>334</v>
      </c>
      <c r="AA40" s="266">
        <v>38</v>
      </c>
      <c r="AB40" s="44">
        <v>8</v>
      </c>
      <c r="AC40" s="43" t="s">
        <v>114</v>
      </c>
      <c r="AD40" s="274"/>
      <c r="AE40" s="266"/>
    </row>
    <row r="41" spans="1:31" ht="12.5" x14ac:dyDescent="0.3">
      <c r="N41" s="188"/>
      <c r="AA41" s="266">
        <v>39</v>
      </c>
      <c r="AB41" s="46" t="s">
        <v>38</v>
      </c>
      <c r="AC41" s="45" t="s">
        <v>39</v>
      </c>
      <c r="AD41" s="273"/>
      <c r="AE41" s="266"/>
    </row>
    <row r="42" spans="1:31" ht="12.5" x14ac:dyDescent="0.3">
      <c r="A42" s="38" t="s">
        <v>130</v>
      </c>
      <c r="AA42" s="266">
        <v>40</v>
      </c>
      <c r="AB42" s="46" t="s">
        <v>132</v>
      </c>
      <c r="AC42" s="45" t="s">
        <v>40</v>
      </c>
      <c r="AD42" s="273"/>
      <c r="AE42" s="266"/>
    </row>
    <row r="43" spans="1:31" ht="13" x14ac:dyDescent="0.3">
      <c r="A43" s="38" t="s">
        <v>116</v>
      </c>
      <c r="O43" s="266"/>
      <c r="P43" s="266"/>
      <c r="Q43" s="266"/>
      <c r="R43" s="266"/>
      <c r="S43" s="266"/>
      <c r="T43" s="266"/>
      <c r="U43" s="266"/>
      <c r="V43" s="266"/>
      <c r="W43" s="266"/>
      <c r="X43" s="266"/>
      <c r="Y43" s="266"/>
      <c r="Z43" s="266"/>
      <c r="AA43" s="266">
        <v>41</v>
      </c>
      <c r="AB43" s="55" t="s">
        <v>133</v>
      </c>
      <c r="AC43" s="54" t="s">
        <v>100</v>
      </c>
      <c r="AD43" s="275"/>
      <c r="AE43" s="266"/>
    </row>
    <row r="44" spans="1:31" ht="26" x14ac:dyDescent="0.3">
      <c r="AA44" s="266">
        <v>42</v>
      </c>
      <c r="AB44" s="57" t="s">
        <v>41</v>
      </c>
      <c r="AC44" s="56" t="s">
        <v>189</v>
      </c>
      <c r="AD44" s="409"/>
      <c r="AE44" s="266"/>
    </row>
    <row r="45" spans="1:31" ht="13" x14ac:dyDescent="0.3">
      <c r="AA45" s="266">
        <v>43</v>
      </c>
      <c r="AB45" s="46"/>
      <c r="AC45" s="56"/>
      <c r="AD45" s="273"/>
      <c r="AE45" s="266"/>
    </row>
    <row r="46" spans="1:31" ht="12.5" x14ac:dyDescent="0.3">
      <c r="AA46" s="266">
        <v>44</v>
      </c>
      <c r="AB46" s="46" t="s">
        <v>42</v>
      </c>
      <c r="AC46" s="45" t="s">
        <v>58</v>
      </c>
      <c r="AD46" s="273"/>
      <c r="AE46" s="266"/>
    </row>
    <row r="47" spans="1:31" ht="25" x14ac:dyDescent="0.45">
      <c r="A47" s="433"/>
      <c r="B47" s="433"/>
      <c r="C47" s="433"/>
      <c r="D47" s="433"/>
      <c r="E47" s="433"/>
      <c r="F47" s="433"/>
      <c r="G47" s="433"/>
      <c r="H47" s="433"/>
      <c r="I47" s="433"/>
      <c r="J47" s="433"/>
      <c r="K47" s="433"/>
      <c r="L47" s="433"/>
      <c r="M47" s="433"/>
      <c r="N47" s="433"/>
      <c r="O47" s="433"/>
      <c r="P47" s="433"/>
      <c r="Q47" s="433"/>
      <c r="R47" s="433"/>
      <c r="S47" s="433"/>
      <c r="T47" s="433"/>
      <c r="U47" s="433"/>
      <c r="V47" s="433"/>
      <c r="W47" s="433"/>
      <c r="X47" s="433"/>
      <c r="Y47" s="433"/>
      <c r="Z47" s="433"/>
      <c r="AA47" s="266">
        <v>45</v>
      </c>
      <c r="AB47" s="46" t="s">
        <v>43</v>
      </c>
      <c r="AC47" s="45" t="s">
        <v>44</v>
      </c>
      <c r="AD47" s="273"/>
      <c r="AE47" s="266"/>
    </row>
    <row r="48" spans="1:31" ht="50" x14ac:dyDescent="0.45">
      <c r="A48" s="334" t="s">
        <v>15</v>
      </c>
      <c r="B48" s="334"/>
      <c r="C48" s="447"/>
      <c r="D48" s="447"/>
      <c r="E48" s="447"/>
      <c r="F48" s="447"/>
      <c r="G48" s="447"/>
      <c r="H48" s="447"/>
      <c r="I48" s="447"/>
      <c r="J48" s="447"/>
      <c r="K48" s="447"/>
      <c r="L48" s="447"/>
      <c r="M48" s="447"/>
      <c r="N48" s="480">
        <v>0.5</v>
      </c>
      <c r="O48" s="480">
        <v>28.538</v>
      </c>
      <c r="P48" s="480">
        <v>58.927</v>
      </c>
      <c r="Q48" s="480">
        <v>0</v>
      </c>
      <c r="R48" s="480">
        <v>0</v>
      </c>
      <c r="S48" s="480">
        <v>0</v>
      </c>
      <c r="T48" s="480">
        <v>0</v>
      </c>
      <c r="U48" s="480">
        <v>15</v>
      </c>
      <c r="V48" s="480">
        <v>3.48</v>
      </c>
      <c r="W48" s="480">
        <v>1.1439999999999999</v>
      </c>
      <c r="X48" s="480">
        <v>5</v>
      </c>
      <c r="Y48" s="480">
        <v>0</v>
      </c>
      <c r="Z48" s="480">
        <v>0</v>
      </c>
      <c r="AA48" s="266">
        <v>24</v>
      </c>
      <c r="AB48" s="46" t="s">
        <v>134</v>
      </c>
      <c r="AC48" s="45" t="s">
        <v>52</v>
      </c>
      <c r="AD48" s="273"/>
      <c r="AE48" s="266"/>
    </row>
    <row r="49" spans="1:37" ht="18.5" x14ac:dyDescent="0.45">
      <c r="A49" s="334" t="s">
        <v>17</v>
      </c>
      <c r="B49" s="334"/>
      <c r="C49" s="447"/>
      <c r="D49" s="447"/>
      <c r="E49" s="447"/>
      <c r="F49" s="447"/>
      <c r="G49" s="447"/>
      <c r="H49" s="447"/>
      <c r="I49" s="447"/>
      <c r="J49" s="447"/>
      <c r="K49" s="447"/>
      <c r="L49" s="447"/>
      <c r="M49" s="447"/>
      <c r="N49" s="480">
        <v>0</v>
      </c>
      <c r="O49" s="480">
        <v>0</v>
      </c>
      <c r="P49" s="480">
        <v>0</v>
      </c>
      <c r="Q49" s="480">
        <v>0</v>
      </c>
      <c r="R49" s="480">
        <v>150</v>
      </c>
      <c r="S49" s="480">
        <v>0</v>
      </c>
      <c r="T49" s="480">
        <v>0</v>
      </c>
      <c r="U49" s="480">
        <v>0</v>
      </c>
      <c r="V49" s="480">
        <v>0</v>
      </c>
      <c r="W49" s="480">
        <v>0</v>
      </c>
      <c r="X49" s="480">
        <v>100</v>
      </c>
      <c r="Y49" s="480">
        <v>0</v>
      </c>
      <c r="Z49" s="480">
        <v>0</v>
      </c>
      <c r="AA49" s="266">
        <v>47</v>
      </c>
      <c r="AB49" s="46" t="s">
        <v>135</v>
      </c>
      <c r="AC49" s="45" t="s">
        <v>45</v>
      </c>
      <c r="AD49" s="276"/>
      <c r="AE49" s="266"/>
    </row>
    <row r="50" spans="1:37" ht="21" x14ac:dyDescent="0.5">
      <c r="AA50" s="266">
        <v>48</v>
      </c>
      <c r="AB50" s="57" t="s">
        <v>41</v>
      </c>
      <c r="AC50" s="56" t="s">
        <v>190</v>
      </c>
      <c r="AD50" s="409"/>
      <c r="AE50" s="266"/>
      <c r="AI50" s="507" t="s">
        <v>258</v>
      </c>
    </row>
    <row r="51" spans="1:37" ht="26.5" thickBot="1" x14ac:dyDescent="0.5">
      <c r="AA51" s="266">
        <v>49</v>
      </c>
      <c r="AB51" s="57" t="s">
        <v>41</v>
      </c>
      <c r="AC51" s="56" t="s">
        <v>191</v>
      </c>
      <c r="AD51" s="409"/>
      <c r="AE51" s="266"/>
      <c r="AG51" s="494" t="s">
        <v>248</v>
      </c>
      <c r="AI51" s="504"/>
      <c r="AJ51" s="504"/>
      <c r="AK51" s="504"/>
    </row>
    <row r="52" spans="1:37" ht="18.5" x14ac:dyDescent="0.45">
      <c r="AB52" s="260" t="s">
        <v>251</v>
      </c>
      <c r="AC52" s="261" t="s">
        <v>252</v>
      </c>
      <c r="AD52" s="505">
        <f>AJ56</f>
        <v>4053</v>
      </c>
      <c r="AE52" s="467" t="s">
        <v>241</v>
      </c>
      <c r="AF52" s="468"/>
      <c r="AG52" s="433" t="s">
        <v>245</v>
      </c>
      <c r="AI52" s="504"/>
      <c r="AJ52" s="509">
        <v>3043</v>
      </c>
      <c r="AK52" s="504"/>
    </row>
    <row r="53" spans="1:37" ht="18.5" x14ac:dyDescent="0.45">
      <c r="AB53" s="260" t="s">
        <v>148</v>
      </c>
      <c r="AC53" s="261" t="s">
        <v>149</v>
      </c>
      <c r="AD53" s="409"/>
      <c r="AG53" s="433" t="s">
        <v>246</v>
      </c>
      <c r="AI53" s="506"/>
      <c r="AJ53" s="508">
        <f>AD30</f>
        <v>10</v>
      </c>
      <c r="AK53" s="504"/>
    </row>
    <row r="54" spans="1:37" ht="19" thickBot="1" x14ac:dyDescent="0.5">
      <c r="AG54" s="433" t="s">
        <v>247</v>
      </c>
      <c r="AI54" s="504"/>
      <c r="AJ54" s="510">
        <v>1000</v>
      </c>
      <c r="AK54" s="504"/>
    </row>
    <row r="55" spans="1:37" ht="19" thickBot="1" x14ac:dyDescent="0.5">
      <c r="AG55" s="433" t="s">
        <v>263</v>
      </c>
      <c r="AI55" s="504"/>
      <c r="AJ55" s="509"/>
      <c r="AK55" s="504"/>
    </row>
    <row r="56" spans="1:37" ht="19" thickBot="1" x14ac:dyDescent="0.5">
      <c r="AG56" s="433"/>
      <c r="AI56" s="504"/>
      <c r="AJ56" s="515">
        <f>SUM(AJ52:AJ55)</f>
        <v>4053</v>
      </c>
      <c r="AK56" s="504"/>
    </row>
    <row r="57" spans="1:37" ht="19" thickBot="1" x14ac:dyDescent="0.5">
      <c r="AG57" s="433"/>
      <c r="AJ57" s="521">
        <f>AJ52+AJ54+AJ55</f>
        <v>4043</v>
      </c>
    </row>
  </sheetData>
  <conditionalFormatting sqref="AD33">
    <cfRule type="cellIs" dxfId="3" priority="6" stopIfTrue="1" operator="lessThan">
      <formula>0</formula>
    </cfRule>
  </conditionalFormatting>
  <conditionalFormatting sqref="AD43 AD36">
    <cfRule type="cellIs" dxfId="2" priority="3" stopIfTrue="1" operator="lessThan">
      <formula>0</formula>
    </cfRule>
  </conditionalFormatting>
  <conditionalFormatting sqref="AD43">
    <cfRule type="cellIs" dxfId="1" priority="2" operator="equal">
      <formula>0</formula>
    </cfRule>
  </conditionalFormatting>
  <conditionalFormatting sqref="AD46">
    <cfRule type="cellIs" dxfId="0" priority="1" operator="lessThan">
      <formula>0</formula>
    </cfRule>
  </conditionalFormatting>
  <hyperlinks>
    <hyperlink ref="AE22" r:id="rId1" xr:uid="{7FAA43B4-55E4-473B-869C-599AA9B0CFD3}"/>
  </hyperlinks>
  <pageMargins left="0.7" right="0.7" top="0.78740157499999996" bottom="0.78740157499999996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53"/>
  <sheetViews>
    <sheetView showGridLines="0" zoomScale="145" zoomScaleNormal="145" workbookViewId="0">
      <selection sqref="A1:N13"/>
    </sheetView>
  </sheetViews>
  <sheetFormatPr defaultColWidth="8.81640625" defaultRowHeight="15.5" x14ac:dyDescent="0.35"/>
  <cols>
    <col min="1" max="1" width="15.453125" style="184" customWidth="1"/>
    <col min="2" max="2" width="4.54296875" style="187" customWidth="1"/>
    <col min="3" max="7" width="3.453125" style="185" customWidth="1"/>
    <col min="8" max="8" width="4.453125" style="187" customWidth="1"/>
    <col min="9" max="10" width="1.453125" style="185" customWidth="1"/>
    <col min="11" max="11" width="2.54296875" style="185" customWidth="1"/>
    <col min="12" max="12" width="1.453125" style="185" customWidth="1"/>
    <col min="13" max="13" width="2.453125" style="185" customWidth="1"/>
    <col min="14" max="14" width="16.453125" style="185" customWidth="1"/>
    <col min="15" max="15" width="1.1796875" style="185" customWidth="1"/>
    <col min="16" max="16" width="14.453125" style="185" customWidth="1"/>
    <col min="17" max="17" width="1.54296875" style="185" customWidth="1"/>
    <col min="18" max="21" width="8.81640625" style="185"/>
    <col min="22" max="22" width="8.81640625" style="185" customWidth="1"/>
    <col min="23" max="23" width="2.54296875" style="185" customWidth="1"/>
    <col min="24" max="24" width="2.453125" style="185" customWidth="1"/>
    <col min="25" max="25" width="18.54296875" style="185" customWidth="1"/>
    <col min="26" max="26" width="1.54296875" style="185" customWidth="1"/>
    <col min="27" max="16384" width="8.81640625" style="185"/>
  </cols>
  <sheetData>
    <row r="1" spans="1:16" ht="18.649999999999999" customHeight="1" x14ac:dyDescent="0.35">
      <c r="C1" s="189" t="s">
        <v>122</v>
      </c>
      <c r="H1" s="189" t="s">
        <v>120</v>
      </c>
    </row>
    <row r="2" spans="1:16" ht="18.649999999999999" customHeight="1" x14ac:dyDescent="0.35">
      <c r="B2" s="258" t="s">
        <v>143</v>
      </c>
      <c r="L2" s="191"/>
      <c r="M2" s="198" t="s">
        <v>143</v>
      </c>
      <c r="N2" s="254" t="s">
        <v>137</v>
      </c>
    </row>
    <row r="3" spans="1:16" ht="18.649999999999999" customHeight="1" x14ac:dyDescent="0.35">
      <c r="B3" s="258" t="s">
        <v>144</v>
      </c>
      <c r="L3" s="192"/>
      <c r="M3" s="198" t="s">
        <v>144</v>
      </c>
      <c r="N3" s="254" t="s">
        <v>138</v>
      </c>
    </row>
    <row r="4" spans="1:16" ht="18.649999999999999" customHeight="1" x14ac:dyDescent="0.35">
      <c r="A4" s="196" t="s">
        <v>119</v>
      </c>
      <c r="B4" s="258" t="s">
        <v>145</v>
      </c>
      <c r="L4" s="193"/>
      <c r="M4" s="198" t="s">
        <v>145</v>
      </c>
      <c r="N4" s="254" t="s">
        <v>139</v>
      </c>
    </row>
    <row r="5" spans="1:16" ht="18.649999999999999" customHeight="1" x14ac:dyDescent="0.35">
      <c r="B5" s="258" t="s">
        <v>146</v>
      </c>
      <c r="L5" s="194"/>
      <c r="M5" s="198" t="s">
        <v>146</v>
      </c>
      <c r="N5" s="254" t="s">
        <v>140</v>
      </c>
    </row>
    <row r="6" spans="1:16" ht="19.399999999999999" customHeight="1" x14ac:dyDescent="0.35">
      <c r="B6" s="258" t="s">
        <v>147</v>
      </c>
      <c r="H6" s="189" t="s">
        <v>122</v>
      </c>
      <c r="L6" s="195"/>
      <c r="M6" s="198" t="s">
        <v>147</v>
      </c>
      <c r="N6" s="254" t="s">
        <v>141</v>
      </c>
    </row>
    <row r="7" spans="1:16" ht="17.5" customHeight="1" x14ac:dyDescent="0.35">
      <c r="B7" s="189" t="s">
        <v>121</v>
      </c>
      <c r="C7" s="190" t="s">
        <v>147</v>
      </c>
      <c r="D7" s="190" t="s">
        <v>146</v>
      </c>
      <c r="E7" s="190" t="s">
        <v>145</v>
      </c>
      <c r="F7" s="190" t="s">
        <v>144</v>
      </c>
      <c r="G7" s="190" t="s">
        <v>143</v>
      </c>
    </row>
    <row r="8" spans="1:16" ht="17.5" customHeight="1" x14ac:dyDescent="0.35"/>
    <row r="9" spans="1:16" x14ac:dyDescent="0.35">
      <c r="G9" s="197" t="s">
        <v>117</v>
      </c>
    </row>
    <row r="10" spans="1:16" x14ac:dyDescent="0.35">
      <c r="G10" s="187" t="s">
        <v>118</v>
      </c>
    </row>
    <row r="11" spans="1:16" s="38" customFormat="1" ht="17.149999999999999" customHeight="1" x14ac:dyDescent="0.3">
      <c r="A11" s="186" t="s">
        <v>151</v>
      </c>
      <c r="B11" s="188"/>
      <c r="H11" s="188"/>
    </row>
    <row r="12" spans="1:16" ht="12.65" customHeight="1" x14ac:dyDescent="0.35">
      <c r="A12" s="186" t="s">
        <v>162</v>
      </c>
    </row>
    <row r="13" spans="1:16" ht="11.5" customHeight="1" x14ac:dyDescent="0.35">
      <c r="A13" s="38" t="s">
        <v>205</v>
      </c>
    </row>
    <row r="14" spans="1:16" ht="8.5" customHeight="1" x14ac:dyDescent="0.35"/>
    <row r="15" spans="1:16" ht="14.5" customHeight="1" x14ac:dyDescent="0.35">
      <c r="N15" s="191"/>
      <c r="O15" s="198" t="s">
        <v>143</v>
      </c>
      <c r="P15" s="198" t="s">
        <v>123</v>
      </c>
    </row>
    <row r="16" spans="1:16" ht="14.5" customHeight="1" x14ac:dyDescent="0.35">
      <c r="N16" s="192"/>
      <c r="O16" s="198" t="s">
        <v>144</v>
      </c>
      <c r="P16" s="198" t="s">
        <v>124</v>
      </c>
    </row>
    <row r="17" spans="2:16" ht="14.5" customHeight="1" x14ac:dyDescent="0.35">
      <c r="N17" s="193"/>
      <c r="O17" s="198" t="s">
        <v>145</v>
      </c>
      <c r="P17" s="198" t="s">
        <v>125</v>
      </c>
    </row>
    <row r="18" spans="2:16" ht="14.5" customHeight="1" x14ac:dyDescent="0.35">
      <c r="N18" s="194"/>
      <c r="O18" s="198" t="s">
        <v>146</v>
      </c>
      <c r="P18" s="198" t="s">
        <v>126</v>
      </c>
    </row>
    <row r="19" spans="2:16" ht="14.5" customHeight="1" x14ac:dyDescent="0.35">
      <c r="N19" s="195"/>
      <c r="O19" s="198" t="s">
        <v>147</v>
      </c>
      <c r="P19" s="198" t="s">
        <v>127</v>
      </c>
    </row>
    <row r="22" spans="2:16" ht="16" customHeight="1" x14ac:dyDescent="0.35"/>
    <row r="29" spans="2:16" x14ac:dyDescent="0.35">
      <c r="B29" s="263" t="s">
        <v>150</v>
      </c>
    </row>
    <row r="30" spans="2:16" x14ac:dyDescent="0.35">
      <c r="B30" s="185"/>
    </row>
    <row r="53" spans="21:25" x14ac:dyDescent="0.35">
      <c r="U53" s="185">
        <f>U36-U38-U52+U30</f>
        <v>0</v>
      </c>
      <c r="V53" s="185">
        <f>V36-V38-V52+V30</f>
        <v>0</v>
      </c>
      <c r="W53" s="185">
        <f>W36-W38-W52+W30</f>
        <v>0</v>
      </c>
      <c r="X53" s="185">
        <f>X36-X38-X52+X30</f>
        <v>0</v>
      </c>
      <c r="Y53" s="185">
        <f>Y36-Y38-Y52+Y30</f>
        <v>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8"/>
  <sheetViews>
    <sheetView topLeftCell="B1" zoomScale="70" zoomScaleNormal="70" workbookViewId="0">
      <selection activeCell="N32" sqref="N32"/>
    </sheetView>
  </sheetViews>
  <sheetFormatPr defaultRowHeight="14.5" x14ac:dyDescent="0.35"/>
  <cols>
    <col min="1" max="1" width="45.453125" customWidth="1"/>
    <col min="2" max="2" width="60.54296875" customWidth="1"/>
    <col min="3" max="8" width="15" customWidth="1"/>
    <col min="13" max="13" width="29.453125" customWidth="1"/>
  </cols>
  <sheetData>
    <row r="1" spans="1:12" x14ac:dyDescent="0.35">
      <c r="B1" s="279" t="s">
        <v>217</v>
      </c>
      <c r="C1" s="279" t="s">
        <v>218</v>
      </c>
      <c r="D1" s="279" t="s">
        <v>266</v>
      </c>
      <c r="E1" s="279" t="str">
        <f>A5</f>
        <v>Plánováno na splátky dluhů</v>
      </c>
      <c r="F1" s="279"/>
      <c r="G1" s="279"/>
      <c r="H1" s="279"/>
      <c r="I1" s="279"/>
      <c r="J1" s="279"/>
      <c r="K1" s="279"/>
    </row>
    <row r="2" spans="1:12" x14ac:dyDescent="0.35">
      <c r="A2" t="s">
        <v>279</v>
      </c>
      <c r="B2" s="422"/>
      <c r="C2" s="422">
        <f>'výhled-aktiv '!Z49/1000</f>
        <v>0</v>
      </c>
      <c r="D2" s="422"/>
      <c r="E2" s="422"/>
      <c r="F2" s="422"/>
      <c r="G2" s="422"/>
      <c r="H2" s="422"/>
      <c r="I2" s="422"/>
      <c r="J2" s="422"/>
      <c r="K2" s="422"/>
      <c r="L2" s="422"/>
    </row>
    <row r="3" spans="1:12" x14ac:dyDescent="0.35">
      <c r="A3" t="s">
        <v>219</v>
      </c>
      <c r="B3" s="422"/>
      <c r="C3" s="422">
        <f>C7-C2</f>
        <v>120</v>
      </c>
      <c r="D3" s="422"/>
      <c r="E3" s="422"/>
      <c r="F3" s="422"/>
      <c r="G3" s="422"/>
      <c r="H3" s="422"/>
      <c r="I3" s="422"/>
      <c r="J3" s="422"/>
      <c r="K3" s="422"/>
      <c r="L3" s="422"/>
    </row>
    <row r="4" spans="1:12" x14ac:dyDescent="0.35">
      <c r="A4" t="s">
        <v>220</v>
      </c>
      <c r="B4" s="422">
        <f>'výhled-aktiv '!AG45/1000</f>
        <v>80</v>
      </c>
      <c r="C4" s="422"/>
      <c r="D4" s="422">
        <f>IF(('výhled-aktiv '!Z44/1000)&lt;0,0,'výhled-aktiv '!Z44/1000)</f>
        <v>8.8327244300000007</v>
      </c>
      <c r="E4" s="422"/>
      <c r="F4" s="422"/>
      <c r="G4" s="422"/>
      <c r="H4" s="422"/>
      <c r="I4" s="422"/>
      <c r="J4" s="422"/>
      <c r="K4" s="422"/>
      <c r="L4" s="422"/>
    </row>
    <row r="5" spans="1:12" x14ac:dyDescent="0.35">
      <c r="A5" t="s">
        <v>212</v>
      </c>
      <c r="B5" s="422">
        <f>'výhled-aktiv '!AG38/1000</f>
        <v>0</v>
      </c>
      <c r="C5" s="422"/>
      <c r="D5" s="422"/>
      <c r="E5" s="422">
        <f>B5</f>
        <v>0</v>
      </c>
      <c r="F5" s="422"/>
      <c r="G5" s="422"/>
      <c r="H5" s="422"/>
      <c r="I5" s="422"/>
      <c r="J5" s="422"/>
      <c r="K5" s="422"/>
      <c r="L5" s="422"/>
    </row>
    <row r="6" spans="1:12" x14ac:dyDescent="0.35">
      <c r="A6" t="s">
        <v>221</v>
      </c>
      <c r="B6" s="422">
        <f>D4</f>
        <v>8.8327244300000007</v>
      </c>
      <c r="C6" s="422"/>
      <c r="D6" s="422"/>
      <c r="E6" s="422"/>
      <c r="F6" s="422"/>
      <c r="G6" s="422"/>
      <c r="H6" s="422"/>
      <c r="I6" s="422"/>
      <c r="J6" s="422"/>
      <c r="K6" s="422"/>
      <c r="L6" s="422"/>
    </row>
    <row r="7" spans="1:12" x14ac:dyDescent="0.35">
      <c r="B7" s="422">
        <f>SUM(B4:B5)</f>
        <v>80</v>
      </c>
      <c r="C7" s="422">
        <f>'výhled-aktiv '!AE55/1000</f>
        <v>120</v>
      </c>
      <c r="D7" s="422"/>
      <c r="E7" s="423"/>
      <c r="F7" s="423"/>
      <c r="G7" s="423"/>
      <c r="H7" s="422"/>
      <c r="I7" s="422"/>
      <c r="J7" s="422"/>
      <c r="K7" s="422"/>
      <c r="L7" s="422"/>
    </row>
    <row r="8" spans="1:12" x14ac:dyDescent="0.35">
      <c r="B8" s="422"/>
      <c r="C8" s="422"/>
      <c r="D8" s="422"/>
      <c r="E8" s="423"/>
      <c r="F8" s="423"/>
      <c r="G8" s="423"/>
      <c r="H8" s="422"/>
      <c r="I8" s="422"/>
      <c r="J8" s="422"/>
      <c r="K8" s="422"/>
      <c r="L8" s="422"/>
    </row>
    <row r="9" spans="1:12" ht="73" thickBot="1" x14ac:dyDescent="0.4">
      <c r="A9" s="280"/>
      <c r="B9" s="424" t="s">
        <v>211</v>
      </c>
      <c r="C9" s="425" t="s">
        <v>212</v>
      </c>
      <c r="D9" s="425" t="str">
        <f>D1</f>
        <v>Krátkodobý likvidní finanční majetek zústatek dle rozpočtu 2025</v>
      </c>
      <c r="E9" s="425" t="s">
        <v>160</v>
      </c>
      <c r="F9" s="425" t="str">
        <f>A2</f>
        <v>Stav dluhů dle rozpočtu k 31.12.2026</v>
      </c>
      <c r="G9" s="425"/>
      <c r="H9" s="426"/>
      <c r="I9" s="422"/>
      <c r="J9" s="422"/>
      <c r="K9" s="422"/>
      <c r="L9" s="422"/>
    </row>
    <row r="10" spans="1:12" ht="15" thickBot="1" x14ac:dyDescent="0.4">
      <c r="A10" s="280" t="s">
        <v>174</v>
      </c>
      <c r="B10" s="424">
        <f>B4</f>
        <v>80</v>
      </c>
      <c r="C10" s="424">
        <f>E5</f>
        <v>0</v>
      </c>
      <c r="D10" s="424">
        <f>IF(D4&lt;0,0,D4)</f>
        <v>8.8327244300000007</v>
      </c>
      <c r="E10" s="424">
        <f>IF(C3&lt;0,0,C3)</f>
        <v>120</v>
      </c>
      <c r="F10" s="424">
        <f>C2</f>
        <v>0</v>
      </c>
      <c r="G10" s="424"/>
      <c r="H10" s="427">
        <f>B10+E10+D10</f>
        <v>208.83272443000001</v>
      </c>
      <c r="I10" s="422">
        <f>B4+D4</f>
        <v>88.832724429999999</v>
      </c>
      <c r="J10" s="422"/>
      <c r="K10" s="422"/>
      <c r="L10" s="422"/>
    </row>
    <row r="11" spans="1:12" x14ac:dyDescent="0.35">
      <c r="B11" s="422"/>
      <c r="C11" s="422"/>
      <c r="D11" s="422"/>
      <c r="E11" s="422"/>
      <c r="F11" s="422"/>
      <c r="G11" s="422"/>
      <c r="H11" s="422"/>
      <c r="I11" s="422"/>
      <c r="J11" s="422"/>
      <c r="K11" s="422"/>
      <c r="L11" s="422"/>
    </row>
    <row r="12" spans="1:12" x14ac:dyDescent="0.35">
      <c r="B12" s="422"/>
      <c r="C12" s="422"/>
      <c r="D12" s="422"/>
      <c r="E12" s="422"/>
      <c r="F12" s="422"/>
      <c r="G12" s="422"/>
      <c r="H12" s="422"/>
      <c r="I12" s="422"/>
      <c r="J12" s="422"/>
      <c r="K12" s="422"/>
      <c r="L12" s="422"/>
    </row>
    <row r="13" spans="1:12" x14ac:dyDescent="0.35">
      <c r="B13" s="422"/>
      <c r="C13" s="422" t="str">
        <f>'výhled-aktiv '!AA2</f>
        <v>2027 výhled</v>
      </c>
      <c r="D13" s="422" t="str">
        <f>'výhled-aktiv '!AB2</f>
        <v>2028 výhled</v>
      </c>
      <c r="E13" s="422" t="str">
        <f>'výhled-aktiv '!AC2</f>
        <v>2029 výhled</v>
      </c>
      <c r="F13" s="422" t="str">
        <f>'výhled-aktiv '!AD2</f>
        <v>2030 výhled</v>
      </c>
      <c r="G13" s="422" t="str">
        <f>'výhled-aktiv '!AE2</f>
        <v>2031 výhled</v>
      </c>
      <c r="H13" s="422"/>
      <c r="I13" s="422"/>
      <c r="J13" s="422"/>
      <c r="K13" s="422"/>
      <c r="L13" s="422"/>
    </row>
    <row r="14" spans="1:12" x14ac:dyDescent="0.35">
      <c r="A14" t="s">
        <v>158</v>
      </c>
      <c r="B14" s="422"/>
      <c r="C14" s="438">
        <f>'výhled-aktiv '!AA38/1000</f>
        <v>0</v>
      </c>
      <c r="D14" s="438">
        <f>'výhled-aktiv '!AB38/1000</f>
        <v>0</v>
      </c>
      <c r="E14" s="438">
        <f>'výhled-aktiv '!AC38/1000</f>
        <v>0</v>
      </c>
      <c r="F14" s="438">
        <f>'výhled-aktiv '!AD38/1000</f>
        <v>0</v>
      </c>
      <c r="G14" s="438">
        <f>'výhled-aktiv '!AE38/1000</f>
        <v>0</v>
      </c>
      <c r="H14" s="438">
        <f>SUM(C14:G14)</f>
        <v>0</v>
      </c>
      <c r="I14" s="438">
        <f>'výhled-aktiv '!AG38/1000</f>
        <v>0</v>
      </c>
      <c r="J14" s="422"/>
      <c r="K14" s="422"/>
      <c r="L14" s="422"/>
    </row>
    <row r="15" spans="1:12" x14ac:dyDescent="0.35">
      <c r="A15" t="s">
        <v>177</v>
      </c>
      <c r="B15" s="422"/>
      <c r="C15" s="422">
        <f>'výhled-aktiv '!AA45/1000</f>
        <v>10</v>
      </c>
      <c r="D15" s="422">
        <f>'výhled-aktiv '!AB45/1000</f>
        <v>15</v>
      </c>
      <c r="E15" s="422">
        <f>'výhled-aktiv '!AC45/1000</f>
        <v>17</v>
      </c>
      <c r="F15" s="422">
        <f>'výhled-aktiv '!AD45/1000</f>
        <v>18</v>
      </c>
      <c r="G15" s="422">
        <f>'výhled-aktiv '!AE45/1000</f>
        <v>20</v>
      </c>
      <c r="H15" s="422">
        <f>SUM(C15:G15)</f>
        <v>80</v>
      </c>
      <c r="I15" s="422">
        <f>'výhled-aktiv '!AG45/1000</f>
        <v>80</v>
      </c>
      <c r="J15" s="422"/>
      <c r="K15" s="422"/>
      <c r="L15" s="422"/>
    </row>
    <row r="16" spans="1:12" x14ac:dyDescent="0.35">
      <c r="A16" t="s">
        <v>159</v>
      </c>
      <c r="B16" s="423"/>
      <c r="C16" s="423">
        <f>'výhled-aktiv '!AA36/1000</f>
        <v>10</v>
      </c>
      <c r="D16" s="423">
        <f>'výhled-aktiv '!AB36/1000</f>
        <v>15</v>
      </c>
      <c r="E16" s="423">
        <f>'výhled-aktiv '!AC36/1000</f>
        <v>17</v>
      </c>
      <c r="F16" s="423">
        <f>'výhled-aktiv '!AD36/1000</f>
        <v>18</v>
      </c>
      <c r="G16" s="423">
        <f>'výhled-aktiv '!AE36/1000</f>
        <v>20</v>
      </c>
      <c r="H16" s="422">
        <f>SUM(C16:G16)</f>
        <v>80</v>
      </c>
      <c r="I16" s="422">
        <f>'výhled-aktiv '!AG36/1000</f>
        <v>80</v>
      </c>
      <c r="J16" s="422"/>
      <c r="K16" s="422"/>
      <c r="L16" s="422"/>
    </row>
    <row r="17" spans="2:12" x14ac:dyDescent="0.35">
      <c r="B17" s="422"/>
      <c r="C17" s="422"/>
      <c r="D17" s="422"/>
      <c r="E17" s="422"/>
      <c r="F17" s="422"/>
      <c r="G17" s="422"/>
      <c r="H17" s="422"/>
      <c r="I17" s="422"/>
      <c r="J17" s="422"/>
      <c r="K17" s="422"/>
      <c r="L17" s="422"/>
    </row>
    <row r="18" spans="2:12" x14ac:dyDescent="0.35">
      <c r="B18" s="422"/>
      <c r="C18" s="422"/>
      <c r="D18" s="422"/>
      <c r="E18" s="422"/>
      <c r="F18" s="422"/>
      <c r="G18" s="422"/>
      <c r="H18" s="422"/>
      <c r="I18" s="422"/>
      <c r="J18" s="422"/>
      <c r="K18" s="422"/>
      <c r="L18" s="422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0BDF8-573A-40C1-BE58-568B78994C89}">
  <dimension ref="A1:H5"/>
  <sheetViews>
    <sheetView workbookViewId="0">
      <selection activeCell="Q24" sqref="Q24"/>
    </sheetView>
  </sheetViews>
  <sheetFormatPr defaultRowHeight="14.5" x14ac:dyDescent="0.35"/>
  <cols>
    <col min="1" max="1" width="22.453125" customWidth="1"/>
  </cols>
  <sheetData>
    <row r="1" spans="1:8" s="414" customFormat="1" x14ac:dyDescent="0.35">
      <c r="A1" s="415" t="s">
        <v>181</v>
      </c>
      <c r="B1" s="415">
        <v>2022</v>
      </c>
      <c r="C1" s="415">
        <v>2021</v>
      </c>
      <c r="D1" s="415">
        <v>2020</v>
      </c>
      <c r="E1" s="415">
        <v>2021</v>
      </c>
      <c r="F1" s="415">
        <v>2022</v>
      </c>
      <c r="G1" s="415">
        <v>2023</v>
      </c>
      <c r="H1" s="415">
        <v>2024</v>
      </c>
    </row>
    <row r="2" spans="1:8" x14ac:dyDescent="0.35">
      <c r="A2" s="416" t="s">
        <v>182</v>
      </c>
      <c r="B2" s="417"/>
      <c r="C2" s="417"/>
      <c r="D2" s="417"/>
      <c r="E2" s="417"/>
      <c r="F2" s="417"/>
      <c r="G2" s="417"/>
      <c r="H2" s="417"/>
    </row>
    <row r="3" spans="1:8" x14ac:dyDescent="0.35">
      <c r="A3" s="416" t="s">
        <v>183</v>
      </c>
      <c r="B3" s="417"/>
      <c r="C3" s="417"/>
      <c r="D3" s="417"/>
      <c r="E3" s="417"/>
      <c r="F3" s="417"/>
      <c r="G3" s="417"/>
      <c r="H3" s="417"/>
    </row>
    <row r="4" spans="1:8" x14ac:dyDescent="0.35">
      <c r="A4" s="415" t="s">
        <v>184</v>
      </c>
      <c r="B4" s="419">
        <f>B3-B2</f>
        <v>0</v>
      </c>
      <c r="C4" s="419">
        <f t="shared" ref="C4:H4" si="0">C3-C2</f>
        <v>0</v>
      </c>
      <c r="D4" s="419">
        <f t="shared" si="0"/>
        <v>0</v>
      </c>
      <c r="E4" s="419">
        <f t="shared" si="0"/>
        <v>0</v>
      </c>
      <c r="F4" s="419">
        <f t="shared" si="0"/>
        <v>0</v>
      </c>
      <c r="G4" s="419">
        <f t="shared" si="0"/>
        <v>0</v>
      </c>
      <c r="H4" s="419">
        <f t="shared" si="0"/>
        <v>0</v>
      </c>
    </row>
    <row r="5" spans="1:8" x14ac:dyDescent="0.35">
      <c r="A5" s="416" t="s">
        <v>185</v>
      </c>
      <c r="B5" s="418" t="e">
        <f>B4/B3</f>
        <v>#DIV/0!</v>
      </c>
      <c r="C5" s="418" t="e">
        <f t="shared" ref="C5:H5" si="1">C4/C3</f>
        <v>#DIV/0!</v>
      </c>
      <c r="D5" s="418" t="e">
        <f t="shared" si="1"/>
        <v>#DIV/0!</v>
      </c>
      <c r="E5" s="418" t="e">
        <f t="shared" si="1"/>
        <v>#DIV/0!</v>
      </c>
      <c r="F5" s="418" t="e">
        <f t="shared" si="1"/>
        <v>#DIV/0!</v>
      </c>
      <c r="G5" s="418" t="e">
        <f t="shared" si="1"/>
        <v>#DIV/0!</v>
      </c>
      <c r="H5" s="418" t="e">
        <f t="shared" si="1"/>
        <v>#DIV/0!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7207D-BAAF-4193-8FF2-B9AE4C29E758}">
  <dimension ref="A1:V35"/>
  <sheetViews>
    <sheetView zoomScale="85" zoomScaleNormal="85" workbookViewId="0">
      <selection activeCell="S15" sqref="S15"/>
    </sheetView>
  </sheetViews>
  <sheetFormatPr defaultRowHeight="14.5" x14ac:dyDescent="0.35"/>
  <cols>
    <col min="1" max="1" width="39.1796875" customWidth="1"/>
    <col min="2" max="10" width="8.1796875" customWidth="1"/>
    <col min="11" max="11" width="8.81640625" customWidth="1"/>
    <col min="12" max="17" width="11.54296875" customWidth="1"/>
  </cols>
  <sheetData>
    <row r="1" spans="1:22" s="435" customFormat="1" ht="52.5" customHeight="1" x14ac:dyDescent="0.35">
      <c r="B1" s="437">
        <f>'výhled-aktiv '!P2</f>
        <v>2016</v>
      </c>
      <c r="C1" s="437">
        <f>'výhled-aktiv '!Q2</f>
        <v>2017</v>
      </c>
      <c r="D1" s="437">
        <f>'výhled-aktiv '!R2</f>
        <v>2018</v>
      </c>
      <c r="E1" s="437">
        <f>'výhled-aktiv '!S2</f>
        <v>2019</v>
      </c>
      <c r="F1" s="437">
        <f>'výhled-aktiv '!T2</f>
        <v>2020</v>
      </c>
      <c r="G1" s="437">
        <f>'výhled-aktiv '!U2</f>
        <v>2021</v>
      </c>
      <c r="H1" s="437">
        <f>'výhled-aktiv '!V2</f>
        <v>2022</v>
      </c>
      <c r="I1" s="437">
        <f>'výhled-aktiv '!W2</f>
        <v>2023</v>
      </c>
      <c r="J1" s="437">
        <f>'výhled-aktiv '!X2</f>
        <v>2024</v>
      </c>
      <c r="K1" s="437">
        <f>'výhled-aktiv '!Y2</f>
        <v>2025</v>
      </c>
      <c r="L1" s="437" t="str">
        <f>'výhled-aktiv '!Z2</f>
        <v>2026 rozpočet duben</v>
      </c>
      <c r="M1" s="437" t="str">
        <f>'výhled-aktiv '!AA2</f>
        <v>2027 výhled</v>
      </c>
      <c r="N1" s="437" t="str">
        <f>'výhled-aktiv '!AB2</f>
        <v>2028 výhled</v>
      </c>
      <c r="O1" s="437" t="str">
        <f>'výhled-aktiv '!AC2</f>
        <v>2029 výhled</v>
      </c>
      <c r="P1" s="437" t="str">
        <f>'výhled-aktiv '!AD2</f>
        <v>2030 výhled</v>
      </c>
      <c r="Q1" s="437" t="str">
        <f>'výhled-aktiv '!AE2</f>
        <v>2031 výhled</v>
      </c>
      <c r="R1" s="436"/>
      <c r="S1" s="436"/>
      <c r="T1" s="436"/>
      <c r="U1" s="436"/>
      <c r="V1" s="436"/>
    </row>
    <row r="2" spans="1:22" x14ac:dyDescent="0.35">
      <c r="A2" t="s">
        <v>281</v>
      </c>
      <c r="B2" s="495">
        <v>6579.8305599999994</v>
      </c>
      <c r="C2" s="495">
        <v>8066.9625399999995</v>
      </c>
      <c r="D2" s="495">
        <v>10342.211089999999</v>
      </c>
      <c r="E2" s="495">
        <v>13084.879270000001</v>
      </c>
      <c r="F2" s="495">
        <v>9924.3945200000016</v>
      </c>
      <c r="G2" s="495">
        <v>10888.674149999999</v>
      </c>
      <c r="H2" s="495">
        <v>11756.302730000003</v>
      </c>
      <c r="I2" s="495">
        <v>15454.928679999997</v>
      </c>
      <c r="J2" s="495">
        <v>14219.610380000004</v>
      </c>
      <c r="K2" s="495">
        <v>15494.595819999997</v>
      </c>
      <c r="L2" s="438">
        <f>'výhled-aktiv '!Z36+ZDROJ!AJ57</f>
        <v>13316</v>
      </c>
      <c r="M2" s="438">
        <f>'výhled-aktiv '!AA36</f>
        <v>10000</v>
      </c>
      <c r="N2" s="438">
        <f>'výhled-aktiv '!AB36</f>
        <v>15000</v>
      </c>
      <c r="O2" s="438">
        <f>'výhled-aktiv '!AC36</f>
        <v>17000</v>
      </c>
      <c r="P2" s="438">
        <f>'výhled-aktiv '!AD36</f>
        <v>18000</v>
      </c>
      <c r="Q2" s="438">
        <f>'výhled-aktiv '!AE36</f>
        <v>20000</v>
      </c>
    </row>
    <row r="3" spans="1:22" x14ac:dyDescent="0.35">
      <c r="A3" t="s">
        <v>203</v>
      </c>
      <c r="B3" s="495">
        <v>0</v>
      </c>
      <c r="C3" s="495">
        <v>0</v>
      </c>
      <c r="D3" s="495">
        <v>0</v>
      </c>
      <c r="E3" s="495">
        <v>0</v>
      </c>
      <c r="F3" s="495">
        <v>0</v>
      </c>
      <c r="G3" s="495">
        <v>0</v>
      </c>
      <c r="H3" s="495">
        <v>0</v>
      </c>
      <c r="I3" s="495">
        <v>0</v>
      </c>
      <c r="J3" s="495">
        <v>754.72</v>
      </c>
      <c r="K3" s="495">
        <v>15954.77</v>
      </c>
      <c r="L3" s="438">
        <f>'výhled-aktiv '!Z38</f>
        <v>0</v>
      </c>
      <c r="M3" s="438">
        <f>'výhled-aktiv '!AA38</f>
        <v>0</v>
      </c>
      <c r="N3" s="438">
        <f>'výhled-aktiv '!AB38</f>
        <v>0</v>
      </c>
      <c r="O3" s="438">
        <f>'výhled-aktiv '!AC38</f>
        <v>0</v>
      </c>
      <c r="P3" s="438">
        <f>'výhled-aktiv '!AD38</f>
        <v>0</v>
      </c>
      <c r="Q3" s="438">
        <f>'výhled-aktiv '!AE38</f>
        <v>0</v>
      </c>
    </row>
    <row r="4" spans="1:22" x14ac:dyDescent="0.35">
      <c r="A4" t="s">
        <v>261</v>
      </c>
      <c r="B4" s="446">
        <f>(B5*B6)/1000</f>
        <v>6798.5588474951146</v>
      </c>
      <c r="C4" s="446">
        <f t="shared" ref="C4:K4" si="0">(C5*C6)/1000</f>
        <v>7569.1228119080033</v>
      </c>
      <c r="D4" s="446">
        <f t="shared" si="0"/>
        <v>8471.1608669028337</v>
      </c>
      <c r="E4" s="446">
        <f t="shared" si="0"/>
        <v>9096.1499774918575</v>
      </c>
      <c r="F4" s="446">
        <f t="shared" si="0"/>
        <v>10015.102031181475</v>
      </c>
      <c r="G4" s="446">
        <f t="shared" si="0"/>
        <v>10165.118376380518</v>
      </c>
      <c r="H4" s="446">
        <f t="shared" si="0"/>
        <v>10895.218905567204</v>
      </c>
      <c r="I4" s="446">
        <f t="shared" si="0"/>
        <v>12606.370967207778</v>
      </c>
      <c r="J4" s="446">
        <f t="shared" si="0"/>
        <v>14481.370224239345</v>
      </c>
      <c r="K4" s="446">
        <f t="shared" si="0"/>
        <v>14730.944237554791</v>
      </c>
      <c r="L4" s="438"/>
    </row>
    <row r="5" spans="1:22" x14ac:dyDescent="0.35">
      <c r="A5" t="s">
        <v>256</v>
      </c>
      <c r="B5" s="446">
        <v>5984.646872794995</v>
      </c>
      <c r="C5" s="446">
        <v>6513.875053277111</v>
      </c>
      <c r="D5" s="446">
        <v>7148.658959411674</v>
      </c>
      <c r="E5" s="446">
        <v>7599.1227882137482</v>
      </c>
      <c r="F5" s="446">
        <v>8148.9845656480675</v>
      </c>
      <c r="G5" s="446">
        <v>8421.8047857336514</v>
      </c>
      <c r="H5" s="446">
        <v>8879.5590102422211</v>
      </c>
      <c r="I5" s="446">
        <v>10125.599170448015</v>
      </c>
      <c r="J5" s="446">
        <v>11484.036656811533</v>
      </c>
      <c r="K5" s="446">
        <v>11681.954193144165</v>
      </c>
      <c r="L5" s="438">
        <f>K2-K4</f>
        <v>763.65158244520535</v>
      </c>
    </row>
    <row r="6" spans="1:22" x14ac:dyDescent="0.35">
      <c r="A6" t="s">
        <v>249</v>
      </c>
      <c r="B6" s="446">
        <f>ZDROJ!Q38</f>
        <v>1136</v>
      </c>
      <c r="C6" s="446">
        <f>ZDROJ!R38</f>
        <v>1162</v>
      </c>
      <c r="D6" s="446">
        <f>ZDROJ!S38</f>
        <v>1185</v>
      </c>
      <c r="E6" s="446">
        <f>ZDROJ!T38</f>
        <v>1197</v>
      </c>
      <c r="F6" s="446">
        <f>ZDROJ!U38</f>
        <v>1229</v>
      </c>
      <c r="G6" s="446">
        <f>ZDROJ!V38</f>
        <v>1207</v>
      </c>
      <c r="H6" s="446">
        <f>ZDROJ!W38</f>
        <v>1227</v>
      </c>
      <c r="I6" s="446">
        <f>ZDROJ!X38</f>
        <v>1245</v>
      </c>
      <c r="J6" s="446">
        <f>ZDROJ!Y38</f>
        <v>1261</v>
      </c>
      <c r="K6" s="446">
        <f>ZDROJ!Y38</f>
        <v>1261</v>
      </c>
    </row>
    <row r="7" spans="1:22" x14ac:dyDescent="0.35">
      <c r="K7" s="438">
        <f>K4-K2</f>
        <v>-763.65158244520535</v>
      </c>
    </row>
    <row r="33" spans="1:1" s="445" customFormat="1" x14ac:dyDescent="0.35"/>
    <row r="35" spans="1:1" x14ac:dyDescent="0.35">
      <c r="A35" t="s">
        <v>206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52"/>
  <sheetViews>
    <sheetView showGridLines="0" zoomScale="70" zoomScaleNormal="70" zoomScaleSheetLayoutView="70" workbookViewId="0">
      <pane xSplit="3" ySplit="1" topLeftCell="D2" activePane="bottomRight" state="frozen"/>
      <selection activeCell="AB55" sqref="AB55"/>
      <selection pane="topRight" activeCell="AB55" sqref="AB55"/>
      <selection pane="bottomLeft" activeCell="AB55" sqref="AB55"/>
      <selection pane="bottomRight" sqref="A1:AA28"/>
    </sheetView>
  </sheetViews>
  <sheetFormatPr defaultColWidth="8.81640625" defaultRowHeight="12.5" x14ac:dyDescent="0.25"/>
  <cols>
    <col min="1" max="1" width="3.54296875" style="10" customWidth="1"/>
    <col min="2" max="2" width="12.1796875" style="17" customWidth="1"/>
    <col min="3" max="3" width="52.453125" style="18" customWidth="1"/>
    <col min="4" max="11" width="11.81640625" style="10" hidden="1" customWidth="1"/>
    <col min="12" max="14" width="10.54296875" style="10" hidden="1" customWidth="1"/>
    <col min="15" max="15" width="11.453125" style="10" hidden="1" customWidth="1"/>
    <col min="16" max="16" width="12.54296875" style="10" hidden="1" customWidth="1"/>
    <col min="17" max="17" width="12" style="10" hidden="1" customWidth="1"/>
    <col min="18" max="18" width="10.54296875" style="10" hidden="1" customWidth="1"/>
    <col min="19" max="19" width="10.453125" style="10" customWidth="1"/>
    <col min="20" max="20" width="12.453125" style="10" customWidth="1"/>
    <col min="21" max="24" width="10.54296875" style="10" customWidth="1"/>
    <col min="25" max="25" width="11.453125" style="10" customWidth="1"/>
    <col min="26" max="26" width="7" style="16" hidden="1" customWidth="1"/>
    <col min="27" max="27" width="12" style="16" customWidth="1"/>
    <col min="28" max="16384" width="8.81640625" style="10"/>
  </cols>
  <sheetData>
    <row r="1" spans="1:44" s="11" customFormat="1" ht="15.5" x14ac:dyDescent="0.35">
      <c r="A1" s="26"/>
      <c r="B1" s="27"/>
      <c r="C1" s="28" t="str">
        <f>'výhled-aktiv '!C1</f>
        <v>Střednědobý výhled rozpočtu</v>
      </c>
      <c r="D1" s="29"/>
      <c r="E1" s="29"/>
      <c r="F1" s="29"/>
      <c r="G1" s="29"/>
      <c r="H1" s="29"/>
      <c r="I1" s="29"/>
      <c r="J1" s="29"/>
      <c r="K1" s="58"/>
      <c r="L1" s="29"/>
      <c r="M1" s="29"/>
      <c r="N1" s="29"/>
      <c r="O1" s="29"/>
      <c r="P1" s="29"/>
      <c r="Q1" s="29"/>
      <c r="R1" s="29"/>
      <c r="S1" s="58"/>
      <c r="T1" s="29"/>
      <c r="U1" s="29"/>
      <c r="V1" s="29"/>
      <c r="W1" s="29"/>
      <c r="X1" s="29"/>
      <c r="Y1" s="30" t="str">
        <f>'výhled-aktiv '!AE1</f>
        <v>tis.Kč</v>
      </c>
      <c r="Z1" s="232">
        <f>'výhled-aktiv '!AF1</f>
        <v>0</v>
      </c>
      <c r="AA1" s="233"/>
    </row>
    <row r="2" spans="1:44" s="11" customFormat="1" ht="62" x14ac:dyDescent="0.35">
      <c r="A2" s="19" t="str">
        <f>'výhled-aktiv '!A2</f>
        <v>ř.</v>
      </c>
      <c r="B2" s="20" t="str">
        <f>'výhled-aktiv '!B2</f>
        <v>Druhové třídění dle rozp. skladby</v>
      </c>
      <c r="C2" s="21" t="str">
        <f>'výhled-aktiv '!C2</f>
        <v>Údaj</v>
      </c>
      <c r="D2" s="22">
        <f>'výhled-aktiv '!J2</f>
        <v>2010</v>
      </c>
      <c r="E2" s="22">
        <f>'výhled-aktiv '!K2</f>
        <v>2011</v>
      </c>
      <c r="F2" s="22">
        <f>'výhled-aktiv '!L2</f>
        <v>2012</v>
      </c>
      <c r="G2" s="22">
        <f>'výhled-aktiv '!M2</f>
        <v>2013</v>
      </c>
      <c r="H2" s="22">
        <f>'výhled-aktiv '!N2</f>
        <v>2014</v>
      </c>
      <c r="I2" s="22">
        <f>'výhled-aktiv '!O2</f>
        <v>2015</v>
      </c>
      <c r="J2" s="22">
        <f>'výhled-aktiv '!P2</f>
        <v>2016</v>
      </c>
      <c r="K2" s="22">
        <f>'výhled-aktiv '!Q2</f>
        <v>2017</v>
      </c>
      <c r="L2" s="22">
        <f>'výhled-aktiv '!R2</f>
        <v>2018</v>
      </c>
      <c r="M2" s="22">
        <f>'výhled-aktiv '!S2</f>
        <v>2019</v>
      </c>
      <c r="N2" s="22">
        <f>'výhled-aktiv '!T2</f>
        <v>2020</v>
      </c>
      <c r="O2" s="22">
        <f>'výhled-aktiv '!U2</f>
        <v>2021</v>
      </c>
      <c r="P2" s="22">
        <f>'výhled-aktiv '!V2</f>
        <v>2022</v>
      </c>
      <c r="Q2" s="22">
        <f>'výhled-aktiv '!W2</f>
        <v>2023</v>
      </c>
      <c r="R2" s="22">
        <f>'výhled-aktiv '!X2</f>
        <v>2024</v>
      </c>
      <c r="S2" s="22">
        <f>'výhled-aktiv '!Y2</f>
        <v>2025</v>
      </c>
      <c r="T2" s="22" t="str">
        <f>'výhled-aktiv '!Z2</f>
        <v>2026 rozpočet duben</v>
      </c>
      <c r="U2" s="22" t="str">
        <f>'výhled-aktiv '!AA2</f>
        <v>2027 výhled</v>
      </c>
      <c r="V2" s="22" t="str">
        <f>'výhled-aktiv '!AB2</f>
        <v>2028 výhled</v>
      </c>
      <c r="W2" s="22" t="str">
        <f>'výhled-aktiv '!AC2</f>
        <v>2029 výhled</v>
      </c>
      <c r="X2" s="22" t="str">
        <f>'výhled-aktiv '!AD2</f>
        <v>2030 výhled</v>
      </c>
      <c r="Y2" s="22" t="str">
        <f>'výhled-aktiv '!AE2</f>
        <v>2031 výhled</v>
      </c>
      <c r="Z2" s="234" t="str">
        <f>'výhled-aktiv '!AF2</f>
        <v>Průměr % změna 2004 až 2025</v>
      </c>
    </row>
    <row r="3" spans="1:44" s="118" customFormat="1" ht="15.5" x14ac:dyDescent="0.35">
      <c r="A3" s="3">
        <f>'výhled-aktiv '!A3</f>
        <v>1</v>
      </c>
      <c r="B3" s="2">
        <f>'výhled-aktiv '!B3</f>
        <v>1</v>
      </c>
      <c r="C3" s="3" t="str">
        <f>'výhled-aktiv '!C3</f>
        <v>Daňové příjmy</v>
      </c>
      <c r="D3" s="4">
        <f>'výhled-aktiv '!J3</f>
        <v>8270.4</v>
      </c>
      <c r="E3" s="4">
        <f>'výhled-aktiv '!K3</f>
        <v>8554.9599999999991</v>
      </c>
      <c r="F3" s="4">
        <f>'výhled-aktiv '!L3</f>
        <v>8680.99</v>
      </c>
      <c r="G3" s="4">
        <f>'výhled-aktiv '!M3</f>
        <v>12017.29</v>
      </c>
      <c r="H3" s="4">
        <f>'výhled-aktiv '!N3</f>
        <v>13006.91</v>
      </c>
      <c r="I3" s="4">
        <f>'výhled-aktiv '!O3</f>
        <v>13754.08</v>
      </c>
      <c r="J3" s="4">
        <f>'výhled-aktiv '!P3</f>
        <v>14811.62</v>
      </c>
      <c r="K3" s="4">
        <f>'výhled-aktiv '!Q3</f>
        <v>16663.09</v>
      </c>
      <c r="L3" s="4">
        <f>'výhled-aktiv '!R3</f>
        <v>19284.41</v>
      </c>
      <c r="M3" s="4">
        <f>'výhled-aktiv '!S3</f>
        <v>21144.04</v>
      </c>
      <c r="N3" s="4">
        <f>'výhled-aktiv '!T3</f>
        <v>19963.330000000002</v>
      </c>
      <c r="O3" s="4">
        <f>'výhled-aktiv '!U3</f>
        <v>22699.4</v>
      </c>
      <c r="P3" s="4">
        <f>'výhled-aktiv '!V3</f>
        <v>26360.65</v>
      </c>
      <c r="Q3" s="4">
        <f>'výhled-aktiv '!W3</f>
        <v>30074.77</v>
      </c>
      <c r="R3" s="4">
        <f>'výhled-aktiv '!X3</f>
        <v>30757.61</v>
      </c>
      <c r="S3" s="4">
        <f>'výhled-aktiv '!Y3</f>
        <v>32385.27</v>
      </c>
      <c r="T3" s="4">
        <f>'výhled-aktiv '!Z3</f>
        <v>39615</v>
      </c>
      <c r="U3" s="4">
        <f>'výhled-aktiv '!AA3</f>
        <v>41670</v>
      </c>
      <c r="V3" s="4">
        <f>'výhled-aktiv '!AB3</f>
        <v>44520</v>
      </c>
      <c r="W3" s="4">
        <f>'výhled-aktiv '!AC3</f>
        <v>47720</v>
      </c>
      <c r="X3" s="4">
        <f>'výhled-aktiv '!AD3</f>
        <v>50870</v>
      </c>
      <c r="Y3" s="4">
        <f>'výhled-aktiv '!AE3</f>
        <v>54220</v>
      </c>
      <c r="Z3" s="235">
        <f>'výhled-aktiv '!AF3</f>
        <v>8.3833237918194783</v>
      </c>
      <c r="AA3" s="11"/>
    </row>
    <row r="4" spans="1:44" s="5" customFormat="1" ht="15.5" x14ac:dyDescent="0.35">
      <c r="A4" s="3">
        <f>'výhled-aktiv '!A13</f>
        <v>11</v>
      </c>
      <c r="B4" s="2">
        <f>'výhled-aktiv '!B13</f>
        <v>2</v>
      </c>
      <c r="C4" s="3" t="str">
        <f>'výhled-aktiv '!C13</f>
        <v>Nedaňové příjmy</v>
      </c>
      <c r="D4" s="4">
        <f>'výhled-aktiv '!J13</f>
        <v>654.13</v>
      </c>
      <c r="E4" s="4">
        <f>'výhled-aktiv '!K13</f>
        <v>674.97</v>
      </c>
      <c r="F4" s="4">
        <f>'výhled-aktiv '!L13</f>
        <v>765.24</v>
      </c>
      <c r="G4" s="4">
        <f>'výhled-aktiv '!M13</f>
        <v>784.02</v>
      </c>
      <c r="H4" s="4">
        <f>'výhled-aktiv '!N13</f>
        <v>959.06</v>
      </c>
      <c r="I4" s="4">
        <f>'výhled-aktiv '!O13</f>
        <v>1307.1500000000001</v>
      </c>
      <c r="J4" s="4">
        <f>'výhled-aktiv '!P13</f>
        <v>741.9</v>
      </c>
      <c r="K4" s="4">
        <f>'výhled-aktiv '!Q13</f>
        <v>809.3</v>
      </c>
      <c r="L4" s="4">
        <f>'výhled-aktiv '!R13</f>
        <v>1633.83</v>
      </c>
      <c r="M4" s="4">
        <f>'výhled-aktiv '!S13</f>
        <v>3018.11</v>
      </c>
      <c r="N4" s="4">
        <f>'výhled-aktiv '!T13</f>
        <v>2021.17</v>
      </c>
      <c r="O4" s="4">
        <f>'výhled-aktiv '!U13</f>
        <v>2431.3000000000002</v>
      </c>
      <c r="P4" s="4">
        <f>'výhled-aktiv '!V13</f>
        <v>3590.13</v>
      </c>
      <c r="Q4" s="4">
        <f>'výhled-aktiv '!W13</f>
        <v>4801.6499999999996</v>
      </c>
      <c r="R4" s="4">
        <f>'výhled-aktiv '!X13</f>
        <v>5781.58</v>
      </c>
      <c r="S4" s="4">
        <f>'výhled-aktiv '!Y13</f>
        <v>4278.45</v>
      </c>
      <c r="T4" s="4">
        <f>'výhled-aktiv '!Z13</f>
        <v>4097</v>
      </c>
      <c r="U4" s="4">
        <f>'výhled-aktiv '!AA13</f>
        <v>5000</v>
      </c>
      <c r="V4" s="4">
        <f>'výhled-aktiv '!AB13</f>
        <v>5000</v>
      </c>
      <c r="W4" s="4">
        <f>'výhled-aktiv '!AC13</f>
        <v>5000</v>
      </c>
      <c r="X4" s="4">
        <f>'výhled-aktiv '!AD13</f>
        <v>5000</v>
      </c>
      <c r="Y4" s="4">
        <f>'výhled-aktiv '!AE13</f>
        <v>5000</v>
      </c>
      <c r="Z4" s="235">
        <f>'výhled-aktiv '!AF13</f>
        <v>11.683766889596157</v>
      </c>
      <c r="AA4" s="11"/>
    </row>
    <row r="5" spans="1:44" s="5" customFormat="1" ht="15.5" x14ac:dyDescent="0.35">
      <c r="A5" s="3">
        <f>'výhled-aktiv '!A18</f>
        <v>16</v>
      </c>
      <c r="B5" s="2">
        <f>'výhled-aktiv '!B18</f>
        <v>3</v>
      </c>
      <c r="C5" s="3" t="str">
        <f>'výhled-aktiv '!C18</f>
        <v>Kapitálové příjmy</v>
      </c>
      <c r="D5" s="4">
        <f>'výhled-aktiv '!J18</f>
        <v>317.89999999999998</v>
      </c>
      <c r="E5" s="4">
        <f>'výhled-aktiv '!K18</f>
        <v>33.5</v>
      </c>
      <c r="F5" s="4">
        <f>'výhled-aktiv '!L18</f>
        <v>172.7</v>
      </c>
      <c r="G5" s="4">
        <f>'výhled-aktiv '!M18</f>
        <v>4.76</v>
      </c>
      <c r="H5" s="4">
        <f>'výhled-aktiv '!N18</f>
        <v>900.92</v>
      </c>
      <c r="I5" s="4">
        <f>'výhled-aktiv '!O18</f>
        <v>1925.22</v>
      </c>
      <c r="J5" s="4">
        <f>'výhled-aktiv '!P18</f>
        <v>255.6</v>
      </c>
      <c r="K5" s="4">
        <f>'výhled-aktiv '!Q18</f>
        <v>463.6</v>
      </c>
      <c r="L5" s="4">
        <f>'výhled-aktiv '!R18</f>
        <v>329.93</v>
      </c>
      <c r="M5" s="4">
        <f>'výhled-aktiv '!S18</f>
        <v>421.04</v>
      </c>
      <c r="N5" s="4">
        <f>'výhled-aktiv '!T18</f>
        <v>127.5</v>
      </c>
      <c r="O5" s="4">
        <f>'výhled-aktiv '!U18</f>
        <v>773</v>
      </c>
      <c r="P5" s="4">
        <f>'výhled-aktiv '!V18</f>
        <v>165</v>
      </c>
      <c r="Q5" s="4">
        <f>'výhled-aktiv '!W18</f>
        <v>175</v>
      </c>
      <c r="R5" s="4">
        <f>'výhled-aktiv '!X18</f>
        <v>568.52</v>
      </c>
      <c r="S5" s="4">
        <f>'výhled-aktiv '!Y18</f>
        <v>586.53</v>
      </c>
      <c r="T5" s="4">
        <f>'výhled-aktiv '!Z18</f>
        <v>260</v>
      </c>
      <c r="U5" s="4">
        <f>'výhled-aktiv '!AA18</f>
        <v>0</v>
      </c>
      <c r="V5" s="4">
        <f>'výhled-aktiv '!AB18</f>
        <v>0</v>
      </c>
      <c r="W5" s="4">
        <f>'výhled-aktiv '!AC18</f>
        <v>0</v>
      </c>
      <c r="X5" s="4">
        <f>'výhled-aktiv '!AD18</f>
        <v>0</v>
      </c>
      <c r="Y5" s="4">
        <f>'výhled-aktiv '!AE18</f>
        <v>0</v>
      </c>
      <c r="Z5" s="235"/>
      <c r="AA5" s="11"/>
    </row>
    <row r="6" spans="1:44" s="5" customFormat="1" ht="15.5" x14ac:dyDescent="0.35">
      <c r="A6" s="3">
        <f>'výhled-aktiv '!A19</f>
        <v>17</v>
      </c>
      <c r="B6" s="2">
        <f>'výhled-aktiv '!B19</f>
        <v>4</v>
      </c>
      <c r="C6" s="3" t="str">
        <f>'výhled-aktiv '!C19</f>
        <v>Přijaté dotace (transfery)</v>
      </c>
      <c r="D6" s="4">
        <f>'výhled-aktiv '!J19</f>
        <v>2658.46</v>
      </c>
      <c r="E6" s="4">
        <f>'výhled-aktiv '!K19</f>
        <v>3023.34</v>
      </c>
      <c r="F6" s="4">
        <f>'výhled-aktiv '!L19</f>
        <v>3460.87</v>
      </c>
      <c r="G6" s="4">
        <f>'výhled-aktiv '!M19</f>
        <v>2002.02</v>
      </c>
      <c r="H6" s="4">
        <f>'výhled-aktiv '!N19</f>
        <v>13984.12</v>
      </c>
      <c r="I6" s="4">
        <f>'výhled-aktiv '!O19</f>
        <v>27076.95</v>
      </c>
      <c r="J6" s="4">
        <f>'výhled-aktiv '!P19</f>
        <v>1015.97</v>
      </c>
      <c r="K6" s="4">
        <f>'výhled-aktiv '!Q19</f>
        <v>7869.26</v>
      </c>
      <c r="L6" s="4">
        <f>'výhled-aktiv '!R19</f>
        <v>3903.61</v>
      </c>
      <c r="M6" s="4">
        <f>'výhled-aktiv '!S19</f>
        <v>25660.68</v>
      </c>
      <c r="N6" s="4">
        <f>'výhled-aktiv '!T19</f>
        <v>79199.759999999995</v>
      </c>
      <c r="O6" s="4">
        <f>'výhled-aktiv '!U19</f>
        <v>15932.3</v>
      </c>
      <c r="P6" s="4">
        <f>'výhled-aktiv '!V19</f>
        <v>3392.99</v>
      </c>
      <c r="Q6" s="4">
        <f>'výhled-aktiv '!W19</f>
        <v>12759.36</v>
      </c>
      <c r="R6" s="4">
        <f>'výhled-aktiv '!X19</f>
        <v>8696.19</v>
      </c>
      <c r="S6" s="4">
        <f>'výhled-aktiv '!Y19</f>
        <v>18051.849999999999</v>
      </c>
      <c r="T6" s="4">
        <f>'výhled-aktiv '!Z19</f>
        <v>9096</v>
      </c>
      <c r="U6" s="4">
        <f>'výhled-aktiv '!AA19</f>
        <v>3000</v>
      </c>
      <c r="V6" s="4">
        <f>'výhled-aktiv '!AB19</f>
        <v>3000</v>
      </c>
      <c r="W6" s="4">
        <f>'výhled-aktiv '!AC19</f>
        <v>3000</v>
      </c>
      <c r="X6" s="4">
        <f>'výhled-aktiv '!AD19</f>
        <v>3000</v>
      </c>
      <c r="Y6" s="4">
        <f>'výhled-aktiv '!AE19</f>
        <v>3000</v>
      </c>
      <c r="Z6" s="235">
        <f>'výhled-aktiv '!AF19</f>
        <v>130.82238255147632</v>
      </c>
      <c r="AA6" s="11"/>
    </row>
    <row r="7" spans="1:44" s="121" customFormat="1" ht="26" x14ac:dyDescent="0.35">
      <c r="A7" s="6">
        <f>'výhled-aktiv '!A20</f>
        <v>18</v>
      </c>
      <c r="B7" s="119">
        <f>'výhled-aktiv '!B20</f>
        <v>41</v>
      </c>
      <c r="C7" s="6" t="str">
        <f>'výhled-aktiv '!C20</f>
        <v>Neinvestiční přijaté dotace (transfery vč. hospodářské činnosti)</v>
      </c>
      <c r="D7" s="120">
        <f>'výhled-aktiv '!J20</f>
        <v>2441.2399999999998</v>
      </c>
      <c r="E7" s="120">
        <f>'výhled-aktiv '!K20</f>
        <v>2371.67</v>
      </c>
      <c r="F7" s="120">
        <f>'výhled-aktiv '!L20</f>
        <v>3460.87</v>
      </c>
      <c r="G7" s="120">
        <f>'výhled-aktiv '!M20</f>
        <v>1937.02</v>
      </c>
      <c r="H7" s="120">
        <f>'výhled-aktiv '!N20</f>
        <v>1684.12</v>
      </c>
      <c r="I7" s="120">
        <f>'výhled-aktiv '!O20</f>
        <v>1064.46</v>
      </c>
      <c r="J7" s="120">
        <f>'výhled-aktiv '!P20</f>
        <v>986.05</v>
      </c>
      <c r="K7" s="120">
        <f>'výhled-aktiv '!Q20</f>
        <v>799.75</v>
      </c>
      <c r="L7" s="120">
        <f>'výhled-aktiv '!R20</f>
        <v>2017.61</v>
      </c>
      <c r="M7" s="120">
        <f>'výhled-aktiv '!S20</f>
        <v>1046.28</v>
      </c>
      <c r="N7" s="120">
        <f>'výhled-aktiv '!T20</f>
        <v>2290.5</v>
      </c>
      <c r="O7" s="120">
        <f>'výhled-aktiv '!U20</f>
        <v>1826.6</v>
      </c>
      <c r="P7" s="120">
        <f>'výhled-aktiv '!V20</f>
        <v>2015.96</v>
      </c>
      <c r="Q7" s="120">
        <f>'výhled-aktiv '!W20</f>
        <v>3074.14</v>
      </c>
      <c r="R7" s="120">
        <f>'výhled-aktiv '!X20</f>
        <v>1589.07</v>
      </c>
      <c r="S7" s="120">
        <f>'výhled-aktiv '!Y20</f>
        <v>2510.09</v>
      </c>
      <c r="T7" s="120">
        <f>'výhled-aktiv '!Z20</f>
        <v>3687</v>
      </c>
      <c r="U7" s="120">
        <f>'výhled-aktiv '!AA20</f>
        <v>3000</v>
      </c>
      <c r="V7" s="120">
        <f>'výhled-aktiv '!AB20</f>
        <v>3000</v>
      </c>
      <c r="W7" s="120">
        <f>'výhled-aktiv '!AC20</f>
        <v>3000</v>
      </c>
      <c r="X7" s="120">
        <f>'výhled-aktiv '!AD20</f>
        <v>3000</v>
      </c>
      <c r="Y7" s="120">
        <f>'výhled-aktiv '!AE20</f>
        <v>3000</v>
      </c>
      <c r="Z7" s="237"/>
      <c r="AA7" s="11"/>
    </row>
    <row r="8" spans="1:44" s="121" customFormat="1" ht="15.5" x14ac:dyDescent="0.35">
      <c r="A8" s="6">
        <f>'výhled-aktiv '!A21</f>
        <v>20</v>
      </c>
      <c r="B8" s="119">
        <f>'výhled-aktiv '!B21</f>
        <v>42</v>
      </c>
      <c r="C8" s="6" t="str">
        <f>'výhled-aktiv '!C21</f>
        <v>Investiční přijaté dotace (transfery)</v>
      </c>
      <c r="D8" s="120">
        <f>'výhled-aktiv '!J21</f>
        <v>217.22</v>
      </c>
      <c r="E8" s="120">
        <f>'výhled-aktiv '!K21</f>
        <v>651.66999999999996</v>
      </c>
      <c r="F8" s="120">
        <f>'výhled-aktiv '!L21</f>
        <v>0</v>
      </c>
      <c r="G8" s="120">
        <f>'výhled-aktiv '!M21</f>
        <v>65</v>
      </c>
      <c r="H8" s="120">
        <f>'výhled-aktiv '!N21</f>
        <v>12300</v>
      </c>
      <c r="I8" s="120">
        <f>'výhled-aktiv '!O21</f>
        <v>26012.49</v>
      </c>
      <c r="J8" s="120">
        <f>'výhled-aktiv '!P21</f>
        <v>29.91</v>
      </c>
      <c r="K8" s="120">
        <f>'výhled-aktiv '!Q21</f>
        <v>7069.51</v>
      </c>
      <c r="L8" s="120">
        <f>'výhled-aktiv '!R21</f>
        <v>1886</v>
      </c>
      <c r="M8" s="120">
        <f>'výhled-aktiv '!S21</f>
        <v>24614.400000000001</v>
      </c>
      <c r="N8" s="120">
        <f>'výhled-aktiv '!T21</f>
        <v>76909.259999999995</v>
      </c>
      <c r="O8" s="120">
        <f>'výhled-aktiv '!U21</f>
        <v>14105.8</v>
      </c>
      <c r="P8" s="120">
        <f>'výhled-aktiv '!V21</f>
        <v>1377.03</v>
      </c>
      <c r="Q8" s="120">
        <f>'výhled-aktiv '!W21</f>
        <v>9685.2199999999993</v>
      </c>
      <c r="R8" s="120">
        <f>'výhled-aktiv '!X21</f>
        <v>7107.12</v>
      </c>
      <c r="S8" s="120">
        <f>'výhled-aktiv '!Y21</f>
        <v>15541.76</v>
      </c>
      <c r="T8" s="120">
        <f>'výhled-aktiv '!Z21</f>
        <v>5410</v>
      </c>
      <c r="U8" s="120">
        <f>'výhled-aktiv '!AA21</f>
        <v>0</v>
      </c>
      <c r="V8" s="120">
        <f>'výhled-aktiv '!AB21</f>
        <v>0</v>
      </c>
      <c r="W8" s="120">
        <f>'výhled-aktiv '!AC21</f>
        <v>0</v>
      </c>
      <c r="X8" s="120">
        <f>'výhled-aktiv '!AD21</f>
        <v>0</v>
      </c>
      <c r="Y8" s="120">
        <f>'výhled-aktiv '!AE21</f>
        <v>0</v>
      </c>
      <c r="Z8" s="237"/>
      <c r="AA8" s="11"/>
    </row>
    <row r="9" spans="1:44" s="121" customFormat="1" ht="26" x14ac:dyDescent="0.35">
      <c r="A9" s="6">
        <f>'výhled-aktiv '!A22</f>
        <v>0</v>
      </c>
      <c r="B9" s="119">
        <f>'výhled-aktiv '!B22</f>
        <v>0</v>
      </c>
      <c r="C9" s="6" t="str">
        <f>'výhled-aktiv '!C22</f>
        <v xml:space="preserve">       z toho:  4112 a 4212 - neinvestiční a investiční dotace ze SR - souhrnného dotačního vztahu</v>
      </c>
      <c r="D9" s="120">
        <f>'výhled-aktiv '!J22</f>
        <v>937.3</v>
      </c>
      <c r="E9" s="120">
        <f>'výhled-aktiv '!K22</f>
        <v>935</v>
      </c>
      <c r="F9" s="120">
        <f>'výhled-aktiv '!L22</f>
        <v>962.1</v>
      </c>
      <c r="G9" s="120">
        <f>'výhled-aktiv '!M22</f>
        <v>514.29999999999995</v>
      </c>
      <c r="H9" s="120">
        <f>'výhled-aktiv '!N22</f>
        <v>522.5</v>
      </c>
      <c r="I9" s="120">
        <f>'výhled-aktiv '!O22</f>
        <v>528.1</v>
      </c>
      <c r="J9" s="120">
        <f>'výhled-aktiv '!P22</f>
        <v>539.5</v>
      </c>
      <c r="K9" s="120">
        <f>'výhled-aktiv '!Q22</f>
        <v>575.79999999999995</v>
      </c>
      <c r="L9" s="120">
        <f>'výhled-aktiv '!R22</f>
        <v>608.1</v>
      </c>
      <c r="M9" s="120">
        <f>'výhled-aktiv '!S22</f>
        <v>696.7</v>
      </c>
      <c r="N9" s="120">
        <f>'výhled-aktiv '!T22</f>
        <v>662.2</v>
      </c>
      <c r="O9" s="120">
        <f>'výhled-aktiv '!U22</f>
        <v>740.9</v>
      </c>
      <c r="P9" s="120">
        <f>'výhled-aktiv '!V22</f>
        <v>676</v>
      </c>
      <c r="Q9" s="120">
        <f>'výhled-aktiv '!W22</f>
        <v>702.1</v>
      </c>
      <c r="R9" s="120">
        <f>'výhled-aktiv '!X22</f>
        <v>709.6</v>
      </c>
      <c r="S9" s="120">
        <f>'výhled-aktiv '!Y22</f>
        <v>673.2</v>
      </c>
      <c r="T9" s="120">
        <f>'výhled-aktiv '!Z22</f>
        <v>644</v>
      </c>
      <c r="U9" s="120">
        <f>'výhled-aktiv '!AA22</f>
        <v>600</v>
      </c>
      <c r="V9" s="120">
        <f>'výhled-aktiv '!AB22</f>
        <v>600</v>
      </c>
      <c r="W9" s="120">
        <f>'výhled-aktiv '!AC22</f>
        <v>600</v>
      </c>
      <c r="X9" s="120">
        <f>'výhled-aktiv '!AD22</f>
        <v>600</v>
      </c>
      <c r="Y9" s="120">
        <f>'výhled-aktiv '!AE22</f>
        <v>600</v>
      </c>
      <c r="Z9" s="237"/>
      <c r="AA9" s="11"/>
    </row>
    <row r="10" spans="1:44" s="71" customFormat="1" ht="15.5" x14ac:dyDescent="0.35">
      <c r="A10" s="68">
        <f>'výhled-aktiv '!A23</f>
        <v>21</v>
      </c>
      <c r="B10" s="69" t="str">
        <f>'výhled-aktiv '!B23</f>
        <v>1+2+3+4</v>
      </c>
      <c r="C10" s="68" t="str">
        <f>'výhled-aktiv '!C23</f>
        <v>PŘÍJMY CELKEM</v>
      </c>
      <c r="D10" s="67">
        <f>'výhled-aktiv '!J23</f>
        <v>11900.89</v>
      </c>
      <c r="E10" s="67">
        <f>'výhled-aktiv '!K23</f>
        <v>12286.77</v>
      </c>
      <c r="F10" s="67">
        <f>'výhled-aktiv '!L23</f>
        <v>13079.8</v>
      </c>
      <c r="G10" s="67">
        <f>'výhled-aktiv '!M23</f>
        <v>14808.09</v>
      </c>
      <c r="H10" s="67">
        <f>'výhled-aktiv '!N23</f>
        <v>28851.010000000002</v>
      </c>
      <c r="I10" s="67">
        <f>'výhled-aktiv '!O23</f>
        <v>44063.4</v>
      </c>
      <c r="J10" s="67">
        <f>'výhled-aktiv '!P23</f>
        <v>16825.09</v>
      </c>
      <c r="K10" s="67">
        <f>'výhled-aktiv '!Q23</f>
        <v>25805.25</v>
      </c>
      <c r="L10" s="67">
        <f>'výhled-aktiv '!R23</f>
        <v>25151.78</v>
      </c>
      <c r="M10" s="67">
        <f>'výhled-aktiv '!S23</f>
        <v>50243.87</v>
      </c>
      <c r="N10" s="67">
        <f>'výhled-aktiv '!T23</f>
        <v>101311.76</v>
      </c>
      <c r="O10" s="67">
        <f>'výhled-aktiv '!U23</f>
        <v>41836</v>
      </c>
      <c r="P10" s="67">
        <f>'výhled-aktiv '!V23</f>
        <v>33508.770000000004</v>
      </c>
      <c r="Q10" s="67">
        <f>'výhled-aktiv '!W23</f>
        <v>47810.78</v>
      </c>
      <c r="R10" s="67">
        <f>'výhled-aktiv '!X23</f>
        <v>45803.9</v>
      </c>
      <c r="S10" s="67">
        <f>'výhled-aktiv '!Y23</f>
        <v>55302.1</v>
      </c>
      <c r="T10" s="67">
        <f>'výhled-aktiv '!Z23</f>
        <v>53068</v>
      </c>
      <c r="U10" s="67">
        <f>'výhled-aktiv '!AA23</f>
        <v>49670</v>
      </c>
      <c r="V10" s="67">
        <f>'výhled-aktiv '!AB23</f>
        <v>52520</v>
      </c>
      <c r="W10" s="67">
        <f>'výhled-aktiv '!AC23</f>
        <v>55720</v>
      </c>
      <c r="X10" s="67">
        <f>'výhled-aktiv '!AD23</f>
        <v>58870</v>
      </c>
      <c r="Y10" s="67">
        <f>'výhled-aktiv '!AE23</f>
        <v>62220</v>
      </c>
      <c r="Z10" s="238">
        <f>'výhled-aktiv '!AF23</f>
        <v>16.844908338101149</v>
      </c>
      <c r="AA10" s="11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</row>
    <row r="11" spans="1:44" s="5" customFormat="1" ht="15.5" x14ac:dyDescent="0.35">
      <c r="A11" s="3">
        <f>'výhled-aktiv '!A24</f>
        <v>22</v>
      </c>
      <c r="B11" s="2">
        <f>'výhled-aktiv '!B24</f>
        <v>5</v>
      </c>
      <c r="C11" s="3" t="str">
        <f>'výhled-aktiv '!C24</f>
        <v>Běžné výdaje</v>
      </c>
      <c r="D11" s="4">
        <f>'výhled-aktiv '!J24</f>
        <v>9478.51</v>
      </c>
      <c r="E11" s="4">
        <f>'výhled-aktiv '!K24</f>
        <v>9311.67</v>
      </c>
      <c r="F11" s="4">
        <f>'výhled-aktiv '!L24</f>
        <v>9930.4</v>
      </c>
      <c r="G11" s="4">
        <f>'výhled-aktiv '!M24</f>
        <v>9606.49</v>
      </c>
      <c r="H11" s="4">
        <f>'výhled-aktiv '!N24</f>
        <v>6352.79</v>
      </c>
      <c r="I11" s="4">
        <f>'výhled-aktiv '!O24</f>
        <v>1640.81</v>
      </c>
      <c r="J11" s="4">
        <f>'výhled-aktiv '!P24</f>
        <v>10377.83</v>
      </c>
      <c r="K11" s="4">
        <f>'výhled-aktiv '!Q24</f>
        <v>10816.59</v>
      </c>
      <c r="L11" s="4">
        <f>'výhled-aktiv '!R24</f>
        <v>15557.9</v>
      </c>
      <c r="M11" s="4">
        <f>'výhled-aktiv '!S24</f>
        <v>13717.71</v>
      </c>
      <c r="N11" s="4">
        <f>'výhled-aktiv '!T24</f>
        <v>16619.96</v>
      </c>
      <c r="O11" s="4">
        <f>'výhled-aktiv '!U24</f>
        <v>17179.5</v>
      </c>
      <c r="P11" s="4">
        <f>'výhled-aktiv '!V24</f>
        <v>25729.26</v>
      </c>
      <c r="Q11" s="4">
        <f>'výhled-aktiv '!W24</f>
        <v>23264.52</v>
      </c>
      <c r="R11" s="4">
        <f>'výhled-aktiv '!X24</f>
        <v>24872.87</v>
      </c>
      <c r="S11" s="4">
        <f>'výhled-aktiv '!Y24</f>
        <v>25030.7</v>
      </c>
      <c r="T11" s="4">
        <f>'výhled-aktiv '!Z24</f>
        <v>38126</v>
      </c>
      <c r="U11" s="4">
        <f>'výhled-aktiv '!AA24</f>
        <v>39670</v>
      </c>
      <c r="V11" s="4">
        <f>'výhled-aktiv '!AB24</f>
        <v>37520</v>
      </c>
      <c r="W11" s="4">
        <f>'výhled-aktiv '!AC24</f>
        <v>38720</v>
      </c>
      <c r="X11" s="4">
        <f>'výhled-aktiv '!AD24</f>
        <v>40870</v>
      </c>
      <c r="Y11" s="4">
        <f>'výhled-aktiv '!AE24</f>
        <v>42220</v>
      </c>
      <c r="Z11" s="235">
        <f>'výhled-aktiv '!AF24</f>
        <v>25.74730811298798</v>
      </c>
      <c r="AA11" s="11"/>
    </row>
    <row r="12" spans="1:44" s="5" customFormat="1" ht="15.5" x14ac:dyDescent="0.35">
      <c r="A12" s="3">
        <f>'výhled-aktiv '!A31</f>
        <v>29</v>
      </c>
      <c r="B12" s="2">
        <f>'výhled-aktiv '!B31</f>
        <v>6</v>
      </c>
      <c r="C12" s="3" t="str">
        <f>'výhled-aktiv '!C31</f>
        <v xml:space="preserve">Kapitálové výdaje </v>
      </c>
      <c r="D12" s="4">
        <f>'výhled-aktiv '!J31</f>
        <v>1473.51</v>
      </c>
      <c r="E12" s="4">
        <f>'výhled-aktiv '!K31</f>
        <v>1537.49</v>
      </c>
      <c r="F12" s="4">
        <f>'výhled-aktiv '!L31</f>
        <v>1924.3</v>
      </c>
      <c r="G12" s="4">
        <f>'výhled-aktiv '!M31</f>
        <v>2364.4</v>
      </c>
      <c r="H12" s="4">
        <f>'výhled-aktiv '!N31</f>
        <v>20845.96</v>
      </c>
      <c r="I12" s="4">
        <f>'výhled-aktiv '!O31</f>
        <v>51162.47</v>
      </c>
      <c r="J12" s="4">
        <f>'výhled-aktiv '!P31</f>
        <v>506.63</v>
      </c>
      <c r="K12" s="4">
        <f>'výhled-aktiv '!Q31</f>
        <v>9156.0300000000007</v>
      </c>
      <c r="L12" s="4">
        <f>'výhled-aktiv '!R31</f>
        <v>8350.94</v>
      </c>
      <c r="M12" s="4">
        <f>'výhled-aktiv '!S31</f>
        <v>15611.04</v>
      </c>
      <c r="N12" s="4">
        <f>'výhled-aktiv '!T31</f>
        <v>105570.06</v>
      </c>
      <c r="O12" s="4">
        <f>'výhled-aktiv '!U31</f>
        <v>40208</v>
      </c>
      <c r="P12" s="4">
        <f>'výhled-aktiv '!V31</f>
        <v>8530.9599999999991</v>
      </c>
      <c r="Q12" s="4">
        <f>'výhled-aktiv '!W31</f>
        <v>17655.599999999999</v>
      </c>
      <c r="R12" s="4">
        <f>'výhled-aktiv '!X31</f>
        <v>46531.39</v>
      </c>
      <c r="S12" s="4">
        <f>'výhled-aktiv '!Y31</f>
        <v>12597.39</v>
      </c>
      <c r="T12" s="4">
        <f>'výhled-aktiv '!Z31</f>
        <v>18244</v>
      </c>
      <c r="U12" s="4">
        <f>'výhled-aktiv '!AA31</f>
        <v>0</v>
      </c>
      <c r="V12" s="4">
        <f>'výhled-aktiv '!AB31</f>
        <v>0</v>
      </c>
      <c r="W12" s="4">
        <f>'výhled-aktiv '!AC31</f>
        <v>0</v>
      </c>
      <c r="X12" s="4">
        <f>'výhled-aktiv '!AD31</f>
        <v>0</v>
      </c>
      <c r="Y12" s="4">
        <f>'výhled-aktiv '!AE31</f>
        <v>0</v>
      </c>
      <c r="Z12" s="235"/>
      <c r="AA12" s="11"/>
    </row>
    <row r="13" spans="1:44" s="71" customFormat="1" ht="13.5" thickBot="1" x14ac:dyDescent="0.4">
      <c r="A13" s="68">
        <f>'výhled-aktiv '!A32</f>
        <v>30</v>
      </c>
      <c r="B13" s="69" t="str">
        <f>'výhled-aktiv '!B32</f>
        <v>5+6</v>
      </c>
      <c r="C13" s="68" t="str">
        <f>'výhled-aktiv '!C32</f>
        <v>VÝDAJE CELKEM</v>
      </c>
      <c r="D13" s="67">
        <f>'výhled-aktiv '!J32</f>
        <v>10952.02</v>
      </c>
      <c r="E13" s="67">
        <f>'výhled-aktiv '!K32</f>
        <v>10849.16</v>
      </c>
      <c r="F13" s="67">
        <f>'výhled-aktiv '!L32</f>
        <v>11854.699999999999</v>
      </c>
      <c r="G13" s="67">
        <f>'výhled-aktiv '!M32</f>
        <v>11970.89</v>
      </c>
      <c r="H13" s="67">
        <f>'výhled-aktiv '!N32</f>
        <v>27198.75</v>
      </c>
      <c r="I13" s="67">
        <f>'výhled-aktiv '!O32</f>
        <v>52803.28</v>
      </c>
      <c r="J13" s="67">
        <f>'výhled-aktiv '!P32</f>
        <v>10884.46</v>
      </c>
      <c r="K13" s="67">
        <f>'výhled-aktiv '!Q32</f>
        <v>19972.620000000003</v>
      </c>
      <c r="L13" s="67">
        <f>'výhled-aktiv '!R32</f>
        <v>23908.84</v>
      </c>
      <c r="M13" s="67">
        <f>'výhled-aktiv '!S32</f>
        <v>29328.75</v>
      </c>
      <c r="N13" s="67">
        <f>'výhled-aktiv '!T32</f>
        <v>122190.01999999999</v>
      </c>
      <c r="O13" s="67">
        <f>'výhled-aktiv '!U32</f>
        <v>57387.5</v>
      </c>
      <c r="P13" s="67">
        <f>'výhled-aktiv '!V32</f>
        <v>34260.22</v>
      </c>
      <c r="Q13" s="67">
        <f>'výhled-aktiv '!W32</f>
        <v>40920.119999999995</v>
      </c>
      <c r="R13" s="67">
        <f>'výhled-aktiv '!X32</f>
        <v>71404.259999999995</v>
      </c>
      <c r="S13" s="67">
        <f>'výhled-aktiv '!Y32</f>
        <v>37628.089999999997</v>
      </c>
      <c r="T13" s="67">
        <f>'výhled-aktiv '!Z32</f>
        <v>56370</v>
      </c>
      <c r="U13" s="67">
        <f>'výhled-aktiv '!AA32</f>
        <v>39670</v>
      </c>
      <c r="V13" s="67">
        <f>'výhled-aktiv '!AB32</f>
        <v>37520</v>
      </c>
      <c r="W13" s="67">
        <f>'výhled-aktiv '!AC32</f>
        <v>38720</v>
      </c>
      <c r="X13" s="67">
        <f>'výhled-aktiv '!AD32</f>
        <v>40870</v>
      </c>
      <c r="Y13" s="67">
        <f>'výhled-aktiv '!AE32</f>
        <v>42220</v>
      </c>
      <c r="Z13" s="238">
        <f>'výhled-aktiv '!AF13</f>
        <v>11.683766889596157</v>
      </c>
      <c r="AA13" s="236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</row>
    <row r="14" spans="1:44" s="5" customFormat="1" ht="13.5" thickBot="1" x14ac:dyDescent="0.4">
      <c r="A14" s="107">
        <f>'výhled-aktiv '!A33</f>
        <v>31</v>
      </c>
      <c r="B14" s="108" t="str">
        <f>'výhled-aktiv '!B33</f>
        <v>ř.21 - ř.30</v>
      </c>
      <c r="C14" s="109" t="str">
        <f>'výhled-aktiv '!C33</f>
        <v>SALDO PŘÍJMŮ A VÝDAJŮ</v>
      </c>
      <c r="D14" s="106">
        <f>'výhled-aktiv '!J33</f>
        <v>948.86999999999898</v>
      </c>
      <c r="E14" s="106">
        <f>'výhled-aktiv '!K33</f>
        <v>1437.6100000000006</v>
      </c>
      <c r="F14" s="106">
        <f>'výhled-aktiv '!L33</f>
        <v>1225.1000000000004</v>
      </c>
      <c r="G14" s="106">
        <f>'výhled-aktiv '!M33</f>
        <v>2837.2000000000007</v>
      </c>
      <c r="H14" s="106">
        <f>'výhled-aktiv '!N33</f>
        <v>1652.260000000002</v>
      </c>
      <c r="I14" s="106">
        <f>'výhled-aktiv '!O33</f>
        <v>-8739.8799999999974</v>
      </c>
      <c r="J14" s="106">
        <f>'výhled-aktiv '!P33</f>
        <v>5940.630000000001</v>
      </c>
      <c r="K14" s="106">
        <f>'výhled-aktiv '!Q33</f>
        <v>5832.6299999999974</v>
      </c>
      <c r="L14" s="106">
        <f>'výhled-aktiv '!R33</f>
        <v>1242.9399999999987</v>
      </c>
      <c r="M14" s="106">
        <f>'výhled-aktiv '!S33</f>
        <v>20915.120000000003</v>
      </c>
      <c r="N14" s="106">
        <f>'výhled-aktiv '!T33</f>
        <v>-20878.259999999995</v>
      </c>
      <c r="O14" s="106">
        <f>'výhled-aktiv '!U33</f>
        <v>-15551.5</v>
      </c>
      <c r="P14" s="106">
        <f>'výhled-aktiv '!V33</f>
        <v>-751.44999999999709</v>
      </c>
      <c r="Q14" s="106">
        <f>'výhled-aktiv '!W33</f>
        <v>6890.6600000000035</v>
      </c>
      <c r="R14" s="106">
        <f>'výhled-aktiv '!X33</f>
        <v>-25600.359999999993</v>
      </c>
      <c r="S14" s="106">
        <f>'výhled-aktiv '!Y33</f>
        <v>17674.010000000002</v>
      </c>
      <c r="T14" s="106">
        <f>'výhled-aktiv '!Z33</f>
        <v>-3302</v>
      </c>
      <c r="U14" s="106">
        <f>'výhled-aktiv '!AA33</f>
        <v>10000</v>
      </c>
      <c r="V14" s="106">
        <f>'výhled-aktiv '!AB33</f>
        <v>15000</v>
      </c>
      <c r="W14" s="106">
        <f>'výhled-aktiv '!AC33</f>
        <v>17000</v>
      </c>
      <c r="X14" s="106">
        <f>'výhled-aktiv '!AD33</f>
        <v>18000</v>
      </c>
      <c r="Y14" s="106">
        <f>'výhled-aktiv '!AE33</f>
        <v>20000</v>
      </c>
      <c r="Z14" s="235"/>
      <c r="AA14" s="236"/>
    </row>
    <row r="15" spans="1:44" s="5" customFormat="1" ht="13" thickBot="1" x14ac:dyDescent="0.4">
      <c r="A15" s="3">
        <f>'výhled-aktiv '!A34</f>
        <v>32</v>
      </c>
      <c r="B15" s="2" t="str">
        <f>'výhled-aktiv '!B34</f>
        <v>1+2+41</v>
      </c>
      <c r="C15" s="3" t="str">
        <f>'výhled-aktiv '!C34</f>
        <v>Běžné příjmy (včetně neinvestičních dotací)</v>
      </c>
      <c r="D15" s="4">
        <f>'výhled-aktiv '!J34</f>
        <v>11365.769999999999</v>
      </c>
      <c r="E15" s="4">
        <f>'výhled-aktiv '!K34</f>
        <v>11601.599999999999</v>
      </c>
      <c r="F15" s="4">
        <f>'výhled-aktiv '!L34</f>
        <v>12907.099999999999</v>
      </c>
      <c r="G15" s="4">
        <f>'výhled-aktiv '!M34</f>
        <v>14738.330000000002</v>
      </c>
      <c r="H15" s="4">
        <f>'výhled-aktiv '!N34</f>
        <v>15650.09</v>
      </c>
      <c r="I15" s="4">
        <f>'výhled-aktiv '!O34</f>
        <v>16125.689999999999</v>
      </c>
      <c r="J15" s="4">
        <f>'výhled-aktiv '!P34</f>
        <v>16539.57</v>
      </c>
      <c r="K15" s="4">
        <f>'výhled-aktiv '!Q34</f>
        <v>18272.14</v>
      </c>
      <c r="L15" s="4">
        <f>'výhled-aktiv '!R34</f>
        <v>22935.85</v>
      </c>
      <c r="M15" s="4">
        <f>'výhled-aktiv '!S34</f>
        <v>25208.43</v>
      </c>
      <c r="N15" s="4">
        <f>'výhled-aktiv '!T34</f>
        <v>24275</v>
      </c>
      <c r="O15" s="4">
        <f>'výhled-aktiv '!U34</f>
        <v>26957.3</v>
      </c>
      <c r="P15" s="4">
        <f>'výhled-aktiv '!V34</f>
        <v>31966.74</v>
      </c>
      <c r="Q15" s="4">
        <f>'výhled-aktiv '!W34</f>
        <v>37950.559999999998</v>
      </c>
      <c r="R15" s="4">
        <f>'výhled-aktiv '!X34</f>
        <v>38128.26</v>
      </c>
      <c r="S15" s="4">
        <f>'výhled-aktiv '!Y34</f>
        <v>39173.81</v>
      </c>
      <c r="T15" s="4">
        <f>'výhled-aktiv '!Z34</f>
        <v>47399</v>
      </c>
      <c r="U15" s="4">
        <f>'výhled-aktiv '!AA34</f>
        <v>49670</v>
      </c>
      <c r="V15" s="4">
        <f>'výhled-aktiv '!AB34</f>
        <v>52520</v>
      </c>
      <c r="W15" s="4">
        <f>'výhled-aktiv '!AC34</f>
        <v>55720</v>
      </c>
      <c r="X15" s="4">
        <f>'výhled-aktiv '!AD34</f>
        <v>58870</v>
      </c>
      <c r="Y15" s="4">
        <f>'výhled-aktiv '!AE34</f>
        <v>62220</v>
      </c>
      <c r="Z15" s="239"/>
      <c r="AA15" s="257" t="str">
        <f>Y1</f>
        <v>tis.Kč</v>
      </c>
      <c r="AB15" s="59"/>
      <c r="AC15" s="59"/>
    </row>
    <row r="16" spans="1:44" s="5" customFormat="1" ht="26.5" thickBot="1" x14ac:dyDescent="0.35">
      <c r="A16" s="3">
        <f>'výhled-aktiv '!A35</f>
        <v>33</v>
      </c>
      <c r="B16" s="2">
        <f>'výhled-aktiv '!B35</f>
        <v>5</v>
      </c>
      <c r="C16" s="3" t="str">
        <f>'výhled-aktiv '!C35</f>
        <v>Běžné výdaje (provozní)*</v>
      </c>
      <c r="D16" s="4">
        <f>'výhled-aktiv '!J35</f>
        <v>9478.51</v>
      </c>
      <c r="E16" s="4">
        <f>'výhled-aktiv '!K35</f>
        <v>9311.67</v>
      </c>
      <c r="F16" s="4">
        <f>'výhled-aktiv '!L35</f>
        <v>9930.4</v>
      </c>
      <c r="G16" s="4">
        <f>'výhled-aktiv '!M35</f>
        <v>9606.49</v>
      </c>
      <c r="H16" s="4">
        <f>'výhled-aktiv '!N35</f>
        <v>6352.79</v>
      </c>
      <c r="I16" s="4">
        <f>'výhled-aktiv '!O35</f>
        <v>1640.81</v>
      </c>
      <c r="J16" s="4">
        <f>'výhled-aktiv '!P35</f>
        <v>10377.83</v>
      </c>
      <c r="K16" s="4">
        <f>'výhled-aktiv '!Q35</f>
        <v>10816.59</v>
      </c>
      <c r="L16" s="4">
        <f>'výhled-aktiv '!R35</f>
        <v>15557.9</v>
      </c>
      <c r="M16" s="4">
        <f>'výhled-aktiv '!S35</f>
        <v>13717.71</v>
      </c>
      <c r="N16" s="4">
        <f>'výhled-aktiv '!T35</f>
        <v>16619.96</v>
      </c>
      <c r="O16" s="4">
        <f>'výhled-aktiv '!U35</f>
        <v>17179.5</v>
      </c>
      <c r="P16" s="4">
        <f>'výhled-aktiv '!V35</f>
        <v>25729.26</v>
      </c>
      <c r="Q16" s="4">
        <f>'výhled-aktiv '!W35</f>
        <v>23264.52</v>
      </c>
      <c r="R16" s="4">
        <f>'výhled-aktiv '!X35</f>
        <v>24872.87</v>
      </c>
      <c r="S16" s="4">
        <f>'výhled-aktiv '!Y35</f>
        <v>25030.7</v>
      </c>
      <c r="T16" s="4">
        <f>'výhled-aktiv '!Z35</f>
        <v>38126</v>
      </c>
      <c r="U16" s="4">
        <f>'výhled-aktiv '!AA35</f>
        <v>39670</v>
      </c>
      <c r="V16" s="4">
        <f>'výhled-aktiv '!AB35</f>
        <v>37520</v>
      </c>
      <c r="W16" s="4">
        <f>'výhled-aktiv '!AC35</f>
        <v>38720</v>
      </c>
      <c r="X16" s="4">
        <f>'výhled-aktiv '!AD35</f>
        <v>40870</v>
      </c>
      <c r="Y16" s="4">
        <f>'výhled-aktiv '!AE35</f>
        <v>42220</v>
      </c>
      <c r="Z16" s="235"/>
      <c r="AA16" s="252" t="str">
        <f>'výhled-aktiv '!AG35</f>
        <v>Suma 2027 až 2031</v>
      </c>
      <c r="AB16" s="59"/>
      <c r="AC16" s="59"/>
    </row>
    <row r="17" spans="1:31" s="5" customFormat="1" ht="16" thickBot="1" x14ac:dyDescent="0.4">
      <c r="A17" s="107">
        <f>'výhled-aktiv '!A36</f>
        <v>34</v>
      </c>
      <c r="B17" s="108" t="str">
        <f>'výhled-aktiv '!B36</f>
        <v>ř.32-ř.33</v>
      </c>
      <c r="C17" s="109" t="str">
        <f>'výhled-aktiv '!C36</f>
        <v>PROVOZNÍ SALDO (POZOR, ve výhledu + opravy)</v>
      </c>
      <c r="D17" s="106">
        <f>'výhled-aktiv '!J36</f>
        <v>1887.2599999999984</v>
      </c>
      <c r="E17" s="106">
        <f>'výhled-aktiv '!K36</f>
        <v>2289.9299999999985</v>
      </c>
      <c r="F17" s="106">
        <f>'výhled-aktiv '!L36</f>
        <v>2976.6999999999989</v>
      </c>
      <c r="G17" s="106">
        <f>'výhled-aktiv '!M36</f>
        <v>5131.840000000002</v>
      </c>
      <c r="H17" s="106">
        <f>'výhled-aktiv '!N36</f>
        <v>9297.2999999999993</v>
      </c>
      <c r="I17" s="106">
        <f>'výhled-aktiv '!O36</f>
        <v>14484.88</v>
      </c>
      <c r="J17" s="106">
        <f>'výhled-aktiv '!P36</f>
        <v>6161.74</v>
      </c>
      <c r="K17" s="106">
        <f>'výhled-aktiv '!Q36</f>
        <v>7455.5499999999993</v>
      </c>
      <c r="L17" s="106">
        <f>'výhled-aktiv '!R36</f>
        <v>7377.9499999999989</v>
      </c>
      <c r="M17" s="106">
        <f>'výhled-aktiv '!S36</f>
        <v>11490.720000000001</v>
      </c>
      <c r="N17" s="106">
        <f>'výhled-aktiv '!T36</f>
        <v>7655.0400000000009</v>
      </c>
      <c r="O17" s="106">
        <f>'výhled-aktiv '!U36</f>
        <v>9777.7999999999993</v>
      </c>
      <c r="P17" s="106">
        <f>'výhled-aktiv '!V36</f>
        <v>6237.4800000000032</v>
      </c>
      <c r="Q17" s="106">
        <f>'výhled-aktiv '!W36</f>
        <v>14686.039999999997</v>
      </c>
      <c r="R17" s="106">
        <f>'výhled-aktiv '!X36</f>
        <v>13255.390000000003</v>
      </c>
      <c r="S17" s="106">
        <f>'výhled-aktiv '!Y36</f>
        <v>14143.109999999997</v>
      </c>
      <c r="T17" s="106">
        <f>'výhled-aktiv '!Z36</f>
        <v>9273</v>
      </c>
      <c r="U17" s="106">
        <f>'výhled-aktiv '!AA36</f>
        <v>10000</v>
      </c>
      <c r="V17" s="106">
        <f>'výhled-aktiv '!AB36</f>
        <v>15000</v>
      </c>
      <c r="W17" s="106">
        <f>'výhled-aktiv '!AC36</f>
        <v>17000</v>
      </c>
      <c r="X17" s="106">
        <f>'výhled-aktiv '!AD36</f>
        <v>18000</v>
      </c>
      <c r="Y17" s="106">
        <f>'výhled-aktiv '!AE36</f>
        <v>20000</v>
      </c>
      <c r="Z17" s="110"/>
      <c r="AA17" s="111">
        <f>'výhled-aktiv '!AG36</f>
        <v>80000</v>
      </c>
      <c r="AB17" s="59"/>
      <c r="AC17" s="59"/>
    </row>
    <row r="18" spans="1:31" s="75" customFormat="1" x14ac:dyDescent="0.35">
      <c r="A18" s="72">
        <f>'výhled-aktiv '!A37</f>
        <v>35</v>
      </c>
      <c r="B18" s="73">
        <f>'výhled-aktiv '!B37</f>
        <v>8123</v>
      </c>
      <c r="C18" s="72" t="str">
        <f>'výhled-aktiv '!C37</f>
        <v xml:space="preserve">Přijaté dlouhodobé půjčky </v>
      </c>
      <c r="D18" s="74">
        <f>'výhled-aktiv '!J37</f>
        <v>0</v>
      </c>
      <c r="E18" s="74">
        <f>'výhled-aktiv '!K37</f>
        <v>0</v>
      </c>
      <c r="F18" s="74">
        <f>'výhled-aktiv '!L37</f>
        <v>0</v>
      </c>
      <c r="G18" s="74">
        <f>'výhled-aktiv '!M37</f>
        <v>0</v>
      </c>
      <c r="H18" s="74">
        <f>'výhled-aktiv '!N37</f>
        <v>0</v>
      </c>
      <c r="I18" s="74">
        <f>'výhled-aktiv '!O37</f>
        <v>0</v>
      </c>
      <c r="J18" s="74">
        <f>'výhled-aktiv '!P37</f>
        <v>0</v>
      </c>
      <c r="K18" s="74">
        <f>'výhled-aktiv '!Q37</f>
        <v>0</v>
      </c>
      <c r="L18" s="74">
        <f>'výhled-aktiv '!R37</f>
        <v>0</v>
      </c>
      <c r="M18" s="74">
        <f>'výhled-aktiv '!S37</f>
        <v>0</v>
      </c>
      <c r="N18" s="74">
        <f>'výhled-aktiv '!T37</f>
        <v>0</v>
      </c>
      <c r="O18" s="74">
        <f>'výhled-aktiv '!U37</f>
        <v>0</v>
      </c>
      <c r="P18" s="74">
        <f>'výhled-aktiv '!V37</f>
        <v>0</v>
      </c>
      <c r="Q18" s="74">
        <f>'výhled-aktiv '!W37</f>
        <v>0</v>
      </c>
      <c r="R18" s="74">
        <f>'výhled-aktiv '!X37</f>
        <v>16709.490000000002</v>
      </c>
      <c r="S18" s="74">
        <f>'výhled-aktiv '!Y37</f>
        <v>0</v>
      </c>
      <c r="T18" s="74">
        <f>'výhled-aktiv '!Z37</f>
        <v>0</v>
      </c>
      <c r="U18" s="74">
        <f>'výhled-aktiv '!AA37</f>
        <v>0</v>
      </c>
      <c r="V18" s="74">
        <f>'výhled-aktiv '!AB37</f>
        <v>0</v>
      </c>
      <c r="W18" s="74">
        <f>'výhled-aktiv '!AC37</f>
        <v>0</v>
      </c>
      <c r="X18" s="74">
        <f>'výhled-aktiv '!AD37</f>
        <v>0</v>
      </c>
      <c r="Y18" s="74">
        <f>'výhled-aktiv '!AE37</f>
        <v>0</v>
      </c>
      <c r="Z18" s="255"/>
      <c r="AA18" s="256">
        <f>'výhled-aktiv '!AG37</f>
        <v>0</v>
      </c>
      <c r="AB18" s="5"/>
      <c r="AC18" s="5"/>
      <c r="AD18" s="5"/>
      <c r="AE18" s="5"/>
    </row>
    <row r="19" spans="1:31" s="75" customFormat="1" x14ac:dyDescent="0.35">
      <c r="A19" s="72">
        <f>'výhled-aktiv '!A38</f>
        <v>36</v>
      </c>
      <c r="B19" s="73">
        <f>'výhled-aktiv '!B38</f>
        <v>8124</v>
      </c>
      <c r="C19" s="72" t="str">
        <f>'výhled-aktiv '!C38</f>
        <v>Uhrazené splátky dlouhodobých přijatých půjčených prostředků</v>
      </c>
      <c r="D19" s="74">
        <f>'výhled-aktiv '!J38</f>
        <v>0</v>
      </c>
      <c r="E19" s="74">
        <f>'výhled-aktiv '!K38</f>
        <v>0</v>
      </c>
      <c r="F19" s="74">
        <f>'výhled-aktiv '!L38</f>
        <v>0</v>
      </c>
      <c r="G19" s="74">
        <f>'výhled-aktiv '!M38</f>
        <v>0</v>
      </c>
      <c r="H19" s="74">
        <f>'výhled-aktiv '!N38</f>
        <v>0</v>
      </c>
      <c r="I19" s="74">
        <f>'výhled-aktiv '!O38</f>
        <v>0</v>
      </c>
      <c r="J19" s="74">
        <f>'výhled-aktiv '!P38</f>
        <v>0</v>
      </c>
      <c r="K19" s="74">
        <f>'výhled-aktiv '!Q38</f>
        <v>0</v>
      </c>
      <c r="L19" s="74">
        <f>'výhled-aktiv '!R38</f>
        <v>0</v>
      </c>
      <c r="M19" s="74">
        <f>'výhled-aktiv '!S38</f>
        <v>0</v>
      </c>
      <c r="N19" s="74">
        <f>'výhled-aktiv '!T38</f>
        <v>0</v>
      </c>
      <c r="O19" s="74">
        <f>'výhled-aktiv '!U38</f>
        <v>0</v>
      </c>
      <c r="P19" s="74">
        <f>'výhled-aktiv '!V38</f>
        <v>0</v>
      </c>
      <c r="Q19" s="74">
        <f>'výhled-aktiv '!W38</f>
        <v>0</v>
      </c>
      <c r="R19" s="74">
        <f>'výhled-aktiv '!X38</f>
        <v>754.72</v>
      </c>
      <c r="S19" s="74">
        <f>'výhled-aktiv '!Y38</f>
        <v>15954.77</v>
      </c>
      <c r="T19" s="74">
        <f>'výhled-aktiv '!Z38</f>
        <v>0</v>
      </c>
      <c r="U19" s="74">
        <f>'výhled-aktiv '!AA38</f>
        <v>0</v>
      </c>
      <c r="V19" s="74">
        <f>'výhled-aktiv '!AB38</f>
        <v>0</v>
      </c>
      <c r="W19" s="74">
        <f>'výhled-aktiv '!AC38</f>
        <v>0</v>
      </c>
      <c r="X19" s="74">
        <f>'výhled-aktiv '!AD38</f>
        <v>0</v>
      </c>
      <c r="Y19" s="74">
        <f>'výhled-aktiv '!AE38</f>
        <v>0</v>
      </c>
      <c r="Z19" s="255"/>
      <c r="AA19" s="256">
        <f>'výhled-aktiv '!AG38</f>
        <v>0</v>
      </c>
      <c r="AB19" s="5"/>
      <c r="AC19" s="5"/>
      <c r="AD19" s="5"/>
      <c r="AE19" s="5"/>
    </row>
    <row r="20" spans="1:31" s="75" customFormat="1" ht="13" thickBot="1" x14ac:dyDescent="0.4">
      <c r="A20" s="99">
        <f>'výhled-aktiv '!A44</f>
        <v>42</v>
      </c>
      <c r="B20" s="100"/>
      <c r="C20" s="99" t="str">
        <f>'výhled-aktiv '!C44</f>
        <v>Krátkodobý finanční majetek:</v>
      </c>
      <c r="D20" s="101">
        <f>'výhled-aktiv '!J44</f>
        <v>15783.4</v>
      </c>
      <c r="E20" s="101">
        <f>'výhled-aktiv '!K44</f>
        <v>17191</v>
      </c>
      <c r="F20" s="101">
        <f>'výhled-aktiv '!L44</f>
        <v>18473.39</v>
      </c>
      <c r="G20" s="101">
        <f>'výhled-aktiv '!M44</f>
        <v>22564.251800000002</v>
      </c>
      <c r="H20" s="101">
        <f>'výhled-aktiv '!N44</f>
        <v>23830.419449999998</v>
      </c>
      <c r="I20" s="101">
        <f>'výhled-aktiv '!O44</f>
        <v>15374.77824</v>
      </c>
      <c r="J20" s="101">
        <f>'výhled-aktiv '!P44</f>
        <v>20688.119190000001</v>
      </c>
      <c r="K20" s="101">
        <f>'výhled-aktiv '!Q44</f>
        <v>26077.906429999999</v>
      </c>
      <c r="L20" s="101">
        <f>'výhled-aktiv '!R44</f>
        <v>28284.134289999998</v>
      </c>
      <c r="M20" s="101">
        <f>'výhled-aktiv '!S44</f>
        <v>49917.503960000002</v>
      </c>
      <c r="N20" s="101">
        <f>'výhled-aktiv '!T44</f>
        <v>29917.509959999999</v>
      </c>
      <c r="O20" s="101">
        <f>'výhled-aktiv '!U44</f>
        <v>14204.01964</v>
      </c>
      <c r="P20" s="101">
        <f>'výhled-aktiv '!V44</f>
        <v>13180.112949999999</v>
      </c>
      <c r="Q20" s="101">
        <f>'výhled-aktiv '!W44</f>
        <v>20710.476649999997</v>
      </c>
      <c r="R20" s="101">
        <f>'výhled-aktiv '!X44</f>
        <v>12042.01359</v>
      </c>
      <c r="S20" s="101">
        <f>'výhled-aktiv '!Y44</f>
        <v>12134.72443</v>
      </c>
      <c r="T20" s="520">
        <f>'výhled-aktiv '!Z44</f>
        <v>8832.7244300000002</v>
      </c>
      <c r="U20" s="101">
        <f>'výhled-aktiv '!AA44</f>
        <v>18832.724430000002</v>
      </c>
      <c r="V20" s="101">
        <f>'výhled-aktiv '!AB44</f>
        <v>33832.724430000002</v>
      </c>
      <c r="W20" s="101">
        <f>'výhled-aktiv '!AC44</f>
        <v>50832.724430000002</v>
      </c>
      <c r="X20" s="101">
        <f>'výhled-aktiv '!AD44</f>
        <v>68832.724430000002</v>
      </c>
      <c r="Y20" s="101">
        <f>'výhled-aktiv '!AE44</f>
        <v>88832.724430000002</v>
      </c>
      <c r="Z20" s="255"/>
      <c r="AA20" s="256"/>
      <c r="AB20" s="5"/>
      <c r="AC20" s="5"/>
      <c r="AD20" s="5"/>
      <c r="AE20" s="5"/>
    </row>
    <row r="21" spans="1:31" s="5" customFormat="1" ht="16" thickBot="1" x14ac:dyDescent="0.4">
      <c r="A21" s="115">
        <f>'výhled-aktiv '!A45</f>
        <v>43</v>
      </c>
      <c r="B21" s="116" t="str">
        <f>'výhled-aktiv '!B45</f>
        <v>ř.34-ř.36</v>
      </c>
      <c r="C21" s="117" t="str">
        <f>'výhled-aktiv '!C45</f>
        <v>Zbývá z provozního salda po uhrazení splátek úvěrů*</v>
      </c>
      <c r="D21" s="112">
        <f>'výhled-aktiv '!J45</f>
        <v>1887.2599999999984</v>
      </c>
      <c r="E21" s="112">
        <f>'výhled-aktiv '!K45</f>
        <v>2289.9299999999985</v>
      </c>
      <c r="F21" s="112">
        <f>'výhled-aktiv '!L45</f>
        <v>2976.6999999999989</v>
      </c>
      <c r="G21" s="112">
        <f>'výhled-aktiv '!M45</f>
        <v>5131.840000000002</v>
      </c>
      <c r="H21" s="112">
        <f>'výhled-aktiv '!N45</f>
        <v>9297.2999999999993</v>
      </c>
      <c r="I21" s="112">
        <f>'výhled-aktiv '!O45</f>
        <v>14484.88</v>
      </c>
      <c r="J21" s="112">
        <f>'výhled-aktiv '!P45</f>
        <v>6161.74</v>
      </c>
      <c r="K21" s="112">
        <f>'výhled-aktiv '!Q45</f>
        <v>7455.5499999999993</v>
      </c>
      <c r="L21" s="112">
        <f>'výhled-aktiv '!R45</f>
        <v>7377.9499999999989</v>
      </c>
      <c r="M21" s="112">
        <f>'výhled-aktiv '!S45</f>
        <v>11490.720000000001</v>
      </c>
      <c r="N21" s="112">
        <f>'výhled-aktiv '!T45</f>
        <v>7655.0400000000009</v>
      </c>
      <c r="O21" s="112">
        <f>'výhled-aktiv '!U45</f>
        <v>9777.7999999999993</v>
      </c>
      <c r="P21" s="112">
        <f>'výhled-aktiv '!V45</f>
        <v>6237.4800000000032</v>
      </c>
      <c r="Q21" s="112">
        <f>'výhled-aktiv '!W45</f>
        <v>14686.039999999997</v>
      </c>
      <c r="R21" s="112">
        <f>'výhled-aktiv '!X45</f>
        <v>12500.670000000004</v>
      </c>
      <c r="S21" s="112">
        <f>'výhled-aktiv '!Y45</f>
        <v>-1811.6600000000035</v>
      </c>
      <c r="T21" s="112">
        <f>'výhled-aktiv '!Z45</f>
        <v>9273</v>
      </c>
      <c r="U21" s="503">
        <f>'výhled-aktiv '!AA45</f>
        <v>10000</v>
      </c>
      <c r="V21" s="503">
        <f>'výhled-aktiv '!AB45</f>
        <v>15000</v>
      </c>
      <c r="W21" s="503">
        <f>'výhled-aktiv '!AC45</f>
        <v>17000</v>
      </c>
      <c r="X21" s="503">
        <f>'výhled-aktiv '!AD45</f>
        <v>18000</v>
      </c>
      <c r="Y21" s="503">
        <f>'výhled-aktiv '!AE45</f>
        <v>20000</v>
      </c>
      <c r="Z21" s="113"/>
      <c r="AA21" s="519">
        <f>'výhled-aktiv '!AG45</f>
        <v>80000</v>
      </c>
    </row>
    <row r="22" spans="1:31" s="75" customFormat="1" x14ac:dyDescent="0.35">
      <c r="A22" s="102">
        <f>'výhled-aktiv '!A49</f>
        <v>47</v>
      </c>
      <c r="B22" s="103" t="str">
        <f>'výhled-aktiv '!B49</f>
        <v>rozvaha D.II.1</v>
      </c>
      <c r="C22" s="102" t="str">
        <f>'výhled-aktiv '!C49</f>
        <v>Dlouhodobé úvěry a půjčky (splatné dlouhodobé závazky)</v>
      </c>
      <c r="D22" s="104">
        <f>'výhled-aktiv '!J49</f>
        <v>0</v>
      </c>
      <c r="E22" s="104">
        <f>'výhled-aktiv '!K49</f>
        <v>0</v>
      </c>
      <c r="F22" s="104">
        <f>'výhled-aktiv '!L49</f>
        <v>0</v>
      </c>
      <c r="G22" s="104">
        <f>'výhled-aktiv '!M49</f>
        <v>0</v>
      </c>
      <c r="H22" s="104">
        <f>'výhled-aktiv '!N49</f>
        <v>0</v>
      </c>
      <c r="I22" s="104">
        <f>'výhled-aktiv '!O49</f>
        <v>0</v>
      </c>
      <c r="J22" s="104">
        <f>'výhled-aktiv '!P49</f>
        <v>0</v>
      </c>
      <c r="K22" s="104">
        <f>'výhled-aktiv '!Q49</f>
        <v>0</v>
      </c>
      <c r="L22" s="104">
        <f>'výhled-aktiv '!R49</f>
        <v>0</v>
      </c>
      <c r="M22" s="104">
        <f>'výhled-aktiv '!S49</f>
        <v>0</v>
      </c>
      <c r="N22" s="104">
        <f>'výhled-aktiv '!T49</f>
        <v>0</v>
      </c>
      <c r="O22" s="104">
        <f>'výhled-aktiv '!U49</f>
        <v>0</v>
      </c>
      <c r="P22" s="104">
        <f>'výhled-aktiv '!V49</f>
        <v>0</v>
      </c>
      <c r="Q22" s="104">
        <f>'výhled-aktiv '!W49</f>
        <v>0</v>
      </c>
      <c r="R22" s="104">
        <f>'výhled-aktiv '!X49</f>
        <v>15954.768970000001</v>
      </c>
      <c r="S22" s="104">
        <f>'výhled-aktiv '!Y49</f>
        <v>0</v>
      </c>
      <c r="T22" s="104">
        <f>'výhled-aktiv '!Z49</f>
        <v>0</v>
      </c>
      <c r="U22" s="104">
        <f>'výhled-aktiv '!AA49</f>
        <v>0</v>
      </c>
      <c r="V22" s="104">
        <f>'výhled-aktiv '!AB49</f>
        <v>0</v>
      </c>
      <c r="W22" s="104">
        <f>'výhled-aktiv '!AC49</f>
        <v>0</v>
      </c>
      <c r="X22" s="104">
        <f>'výhled-aktiv '!AD49</f>
        <v>0</v>
      </c>
      <c r="Y22" s="104">
        <f>'výhled-aktiv '!AE49</f>
        <v>0</v>
      </c>
      <c r="Z22" s="105"/>
      <c r="AA22" s="5"/>
      <c r="AB22" s="5"/>
      <c r="AC22" s="5"/>
      <c r="AD22" s="5"/>
      <c r="AE22" s="5"/>
    </row>
    <row r="23" spans="1:31" s="75" customFormat="1" ht="13.5" thickBot="1" x14ac:dyDescent="0.35">
      <c r="A23" s="72">
        <f>'výhled-aktiv '!A50</f>
        <v>48</v>
      </c>
      <c r="B23" s="73" t="str">
        <f>'výhled-aktiv '!B50</f>
        <v>rozvaha A.IV</v>
      </c>
      <c r="C23" s="72" t="str">
        <f>'výhled-aktiv '!C50</f>
        <v>Dlouhodobé pohledávky (účet 462 až 471)</v>
      </c>
      <c r="D23" s="74">
        <f>'výhled-aktiv '!J50</f>
        <v>0</v>
      </c>
      <c r="E23" s="74">
        <f>'výhled-aktiv '!K50</f>
        <v>0</v>
      </c>
      <c r="F23" s="74">
        <f>'výhled-aktiv '!L50</f>
        <v>0</v>
      </c>
      <c r="G23" s="74">
        <f>'výhled-aktiv '!M50</f>
        <v>0</v>
      </c>
      <c r="H23" s="74">
        <f>'výhled-aktiv '!N50</f>
        <v>0</v>
      </c>
      <c r="I23" s="74">
        <f>'výhled-aktiv '!O50</f>
        <v>0</v>
      </c>
      <c r="J23" s="74">
        <f>'výhled-aktiv '!P50</f>
        <v>5.0999999999999996</v>
      </c>
      <c r="K23" s="74">
        <f>'výhled-aktiv '!Q50</f>
        <v>5.0999999999999996</v>
      </c>
      <c r="L23" s="74">
        <f>'výhled-aktiv '!R50</f>
        <v>5.0999999999999996</v>
      </c>
      <c r="M23" s="74">
        <f>'výhled-aktiv '!S50</f>
        <v>5.0999999999999996</v>
      </c>
      <c r="N23" s="74">
        <f>'výhled-aktiv '!T50</f>
        <v>5.0999999999999996</v>
      </c>
      <c r="O23" s="74">
        <f>'výhled-aktiv '!U50</f>
        <v>5.0999999999999996</v>
      </c>
      <c r="P23" s="74">
        <f>'výhled-aktiv '!V50</f>
        <v>5.0999999999999996</v>
      </c>
      <c r="Q23" s="74">
        <f>'výhled-aktiv '!W50</f>
        <v>5.0999999999999996</v>
      </c>
      <c r="R23" s="74">
        <f>'výhled-aktiv '!X50</f>
        <v>5.0999999999999996</v>
      </c>
      <c r="S23" s="74">
        <f>'výhled-aktiv '!Y50</f>
        <v>5.0999999999999996</v>
      </c>
      <c r="T23" s="74">
        <f>'výhled-aktiv '!Z50</f>
        <v>5.0999999999999996</v>
      </c>
      <c r="U23" s="74">
        <f>'výhled-aktiv '!AA50</f>
        <v>5.0999999999999996</v>
      </c>
      <c r="V23" s="74">
        <f>'výhled-aktiv '!AB50</f>
        <v>5.0999999999999996</v>
      </c>
      <c r="W23" s="74">
        <f>'výhled-aktiv '!AC50</f>
        <v>5.0999999999999996</v>
      </c>
      <c r="X23" s="74">
        <f>'výhled-aktiv '!AD50</f>
        <v>5.0999999999999996</v>
      </c>
      <c r="Y23" s="74">
        <f>'výhled-aktiv '!AE50</f>
        <v>5.0999999999999996</v>
      </c>
      <c r="AA23" s="181"/>
      <c r="AB23" s="5"/>
      <c r="AC23" s="5"/>
      <c r="AD23" s="5"/>
      <c r="AE23" s="5"/>
    </row>
    <row r="24" spans="1:31" s="5" customFormat="1" ht="16" thickBot="1" x14ac:dyDescent="0.4">
      <c r="A24" s="115">
        <f>'výhled-aktiv '!A52</f>
        <v>50</v>
      </c>
      <c r="B24" s="116"/>
      <c r="C24" s="363" t="str">
        <f>'výhled-aktiv '!C52</f>
        <v>Reprodukce dlouhodobého majetku (doporučený údaj)</v>
      </c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360">
        <f>'výhled-aktiv '!AA52</f>
        <v>8000</v>
      </c>
      <c r="V24" s="360">
        <f>'výhled-aktiv '!AB52</f>
        <v>8000</v>
      </c>
      <c r="W24" s="360">
        <f>'výhled-aktiv '!AC52</f>
        <v>8000</v>
      </c>
      <c r="X24" s="360">
        <f>'výhled-aktiv '!AD52</f>
        <v>8000</v>
      </c>
      <c r="Y24" s="360">
        <f>'výhled-aktiv '!AE52</f>
        <v>8000</v>
      </c>
      <c r="Z24" s="361">
        <f>'výhled-aktiv '!AF52</f>
        <v>0</v>
      </c>
      <c r="AA24" s="362">
        <f>'výhled-aktiv '!AG52</f>
        <v>40000</v>
      </c>
    </row>
    <row r="25" spans="1:31" s="5" customFormat="1" ht="38.5" customHeight="1" thickBot="1" x14ac:dyDescent="0.4">
      <c r="A25" s="115">
        <f>'výhled-aktiv '!A53</f>
        <v>51</v>
      </c>
      <c r="B25" s="116" t="str">
        <f>'výhled-aktiv '!B53</f>
        <v>ř.34-ř50</v>
      </c>
      <c r="C25" s="117" t="str">
        <f>'výhled-aktiv '!C53</f>
        <v>Zbývá po zahrnutí reprodukce majetku bez splátek dluhů (bez přijatých úvěrů, investičních dotací, kapitálových příjmů)</v>
      </c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12">
        <f>'výhled-aktiv '!AA53</f>
        <v>2000</v>
      </c>
      <c r="V25" s="112">
        <f>'výhled-aktiv '!AB53</f>
        <v>7000</v>
      </c>
      <c r="W25" s="112">
        <f>'výhled-aktiv '!AC53</f>
        <v>9000</v>
      </c>
      <c r="X25" s="112">
        <f>'výhled-aktiv '!AD53</f>
        <v>10000</v>
      </c>
      <c r="Y25" s="112">
        <f>'výhled-aktiv '!AE53</f>
        <v>12000</v>
      </c>
      <c r="Z25" s="113">
        <f>'výhled-aktiv '!AF53</f>
        <v>0</v>
      </c>
      <c r="AA25" s="114">
        <f>'výhled-aktiv '!AG53</f>
        <v>40000</v>
      </c>
    </row>
    <row r="26" spans="1:31" ht="15.5" x14ac:dyDescent="0.25">
      <c r="B26" s="242"/>
      <c r="C26" s="35"/>
      <c r="D26" s="36"/>
      <c r="E26" s="36"/>
      <c r="F26" s="36"/>
      <c r="G26" s="36"/>
      <c r="H26" s="36"/>
      <c r="I26" s="36"/>
      <c r="J26" s="36"/>
      <c r="K26" s="36"/>
      <c r="T26" s="131" t="s">
        <v>56</v>
      </c>
      <c r="U26" s="132"/>
      <c r="V26" s="132"/>
      <c r="W26" s="132"/>
      <c r="X26" s="132"/>
      <c r="Y26" s="133" t="s">
        <v>46</v>
      </c>
    </row>
    <row r="27" spans="1:31" ht="16" thickBot="1" x14ac:dyDescent="0.3">
      <c r="B27" s="359" t="s">
        <v>172</v>
      </c>
      <c r="E27" s="37"/>
      <c r="T27" s="131" t="s">
        <v>57</v>
      </c>
      <c r="U27" s="244"/>
      <c r="V27" s="244"/>
      <c r="W27" s="244"/>
      <c r="X27" s="244"/>
      <c r="Y27" s="76">
        <f>'výhled-aktiv '!AE55</f>
        <v>120000</v>
      </c>
    </row>
    <row r="28" spans="1:31" ht="14" thickTop="1" thickBot="1" x14ac:dyDescent="0.35">
      <c r="B28" s="240"/>
      <c r="T28" s="245">
        <f>'výhled-aktiv '!Z56</f>
        <v>45606.387500000004</v>
      </c>
      <c r="U28" s="246">
        <f>'výhled-aktiv '!AA56</f>
        <v>27363.8325</v>
      </c>
      <c r="V28" s="460" t="str">
        <f>'výhled-aktiv '!AB56</f>
        <v>je 60% průměru příjmů za 4 roky</v>
      </c>
      <c r="W28" s="247"/>
      <c r="X28" s="248"/>
      <c r="Y28" s="249"/>
    </row>
    <row r="29" spans="1:31" x14ac:dyDescent="0.25">
      <c r="B29" s="240"/>
    </row>
    <row r="30" spans="1:31" x14ac:dyDescent="0.25">
      <c r="B30" s="240"/>
    </row>
    <row r="43" spans="10:10" x14ac:dyDescent="0.25">
      <c r="J43" s="37"/>
    </row>
    <row r="52" spans="27:31" x14ac:dyDescent="0.25">
      <c r="AA52" s="16">
        <f>AA35-AA37-AA51+AA29</f>
        <v>0</v>
      </c>
      <c r="AB52" s="16">
        <f>AB35-AB37-AB51+AB29</f>
        <v>0</v>
      </c>
      <c r="AC52" s="16">
        <f>AC35-AC37-AC51+AC29</f>
        <v>0</v>
      </c>
      <c r="AD52" s="16">
        <f>AD35-AD37-AD51+AD29</f>
        <v>0</v>
      </c>
      <c r="AE52" s="16">
        <f>AE35-AE37-AE51+AE29</f>
        <v>0</v>
      </c>
    </row>
  </sheetData>
  <conditionalFormatting sqref="D14:Y14 D17:Y17 D21:Y21 D24:Y25">
    <cfRule type="cellIs" dxfId="30" priority="20" stopIfTrue="1" operator="lessThan">
      <formula>0</formula>
    </cfRule>
  </conditionalFormatting>
  <conditionalFormatting sqref="D14:Y14 D17:Y17 D21:Y21 Z24:AA24 D24:Y25">
    <cfRule type="cellIs" dxfId="29" priority="18" operator="lessThan">
      <formula>0</formula>
    </cfRule>
  </conditionalFormatting>
  <conditionalFormatting sqref="AB17:AC17">
    <cfRule type="cellIs" dxfId="28" priority="13" operator="lessThan">
      <formula>0</formula>
    </cfRule>
  </conditionalFormatting>
  <pageMargins left="0.39370078740157483" right="0.39370078740157483" top="0.35433070866141736" bottom="0.39370078740157483" header="0.15748031496062992" footer="0.31496062992125984"/>
  <pageSetup paperSize="9" scale="66" orientation="landscape" r:id="rId1"/>
  <headerFooter alignWithMargins="0"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9B0B0-8086-419F-9839-984A687C2DFF}">
  <dimension ref="A1:L29"/>
  <sheetViews>
    <sheetView showGridLines="0" tabSelected="1" zoomScale="70" zoomScaleNormal="70" zoomScaleSheetLayoutView="70" workbookViewId="0">
      <pane xSplit="4" ySplit="1" topLeftCell="E2" activePane="bottomRight" state="frozen"/>
      <selection activeCell="AB55" sqref="AB55"/>
      <selection pane="topRight" activeCell="AB55" sqref="AB55"/>
      <selection pane="bottomLeft" activeCell="AB55" sqref="AB55"/>
      <selection pane="bottomRight" activeCell="D1" sqref="D1:I11"/>
    </sheetView>
  </sheetViews>
  <sheetFormatPr defaultColWidth="8.81640625" defaultRowHeight="13" x14ac:dyDescent="0.3"/>
  <cols>
    <col min="1" max="2" width="3.54296875" style="316" hidden="1" customWidth="1"/>
    <col min="3" max="3" width="15" style="319" hidden="1" customWidth="1"/>
    <col min="4" max="4" width="77" style="317" customWidth="1"/>
    <col min="5" max="9" width="14.81640625" style="316" customWidth="1"/>
    <col min="10" max="10" width="15.81640625" style="318" hidden="1" customWidth="1"/>
    <col min="11" max="11" width="10.54296875" style="316" customWidth="1"/>
    <col min="12" max="12" width="9.54296875" style="316" customWidth="1"/>
    <col min="13" max="16384" width="8.81640625" style="316"/>
  </cols>
  <sheetData>
    <row r="1" spans="1:10" s="299" customFormat="1" ht="18.5" thickBot="1" x14ac:dyDescent="0.45">
      <c r="D1" s="300" t="s">
        <v>164</v>
      </c>
      <c r="E1" s="301"/>
      <c r="F1" s="301"/>
      <c r="G1" s="301"/>
      <c r="H1" s="301"/>
      <c r="I1" s="376" t="s">
        <v>0</v>
      </c>
      <c r="J1" s="303" t="str">
        <f>'výhled-aktiv '!AE1</f>
        <v>tis.Kč</v>
      </c>
    </row>
    <row r="2" spans="1:10" s="299" customFormat="1" ht="93.75" customHeight="1" x14ac:dyDescent="0.35">
      <c r="A2" s="304" t="str">
        <f>'výhled-aktiv '!A2</f>
        <v>ř.</v>
      </c>
      <c r="B2" s="305" t="s">
        <v>1</v>
      </c>
      <c r="C2" s="330" t="str">
        <f>'výhled-aktiv '!B2</f>
        <v>Druhové třídění dle rozp. skladby</v>
      </c>
      <c r="D2" s="331" t="str">
        <f>'výhled-aktiv '!C2</f>
        <v>Údaj</v>
      </c>
      <c r="E2" s="332" t="str">
        <f>'výhled-aktiv '!AA2</f>
        <v>2027 výhled</v>
      </c>
      <c r="F2" s="332" t="str">
        <f>'výhled-aktiv '!AB2</f>
        <v>2028 výhled</v>
      </c>
      <c r="G2" s="332" t="str">
        <f>'výhled-aktiv '!AC2</f>
        <v>2029 výhled</v>
      </c>
      <c r="H2" s="332" t="str">
        <f>'výhled-aktiv '!AD2</f>
        <v>2030 výhled</v>
      </c>
      <c r="I2" s="332" t="str">
        <f>'výhled-aktiv '!AE2</f>
        <v>2031 výhled</v>
      </c>
      <c r="J2" s="379" t="s">
        <v>155</v>
      </c>
    </row>
    <row r="3" spans="1:10" s="308" customFormat="1" ht="46.4" customHeight="1" x14ac:dyDescent="0.35">
      <c r="A3" s="311">
        <f>'výhled-aktiv '!A23</f>
        <v>21</v>
      </c>
      <c r="B3" s="348">
        <v>1</v>
      </c>
      <c r="C3" s="349" t="str">
        <f>'výhled-aktiv '!B23</f>
        <v>1+2+3+4</v>
      </c>
      <c r="D3" s="350" t="str">
        <f>'výhled-aktiv '!C23</f>
        <v>PŘÍJMY CELKEM</v>
      </c>
      <c r="E3" s="351">
        <f>'výhled-aktiv '!AA23</f>
        <v>49670</v>
      </c>
      <c r="F3" s="351">
        <f>'výhled-aktiv '!AB23</f>
        <v>52520</v>
      </c>
      <c r="G3" s="351">
        <f>'výhled-aktiv '!AC23</f>
        <v>55720</v>
      </c>
      <c r="H3" s="351">
        <f>'výhled-aktiv '!AD23</f>
        <v>58870</v>
      </c>
      <c r="I3" s="351">
        <f>'výhled-aktiv '!AE23</f>
        <v>62220</v>
      </c>
      <c r="J3" s="382">
        <f>SUM(E3:I3)</f>
        <v>279000</v>
      </c>
    </row>
    <row r="4" spans="1:10" s="308" customFormat="1" ht="43.4" customHeight="1" thickBot="1" x14ac:dyDescent="0.4">
      <c r="A4" s="311">
        <f>'výhled-aktiv '!A32</f>
        <v>30</v>
      </c>
      <c r="B4" s="348">
        <v>2</v>
      </c>
      <c r="C4" s="349" t="str">
        <f>'výhled-aktiv '!B32</f>
        <v>5+6</v>
      </c>
      <c r="D4" s="350" t="str">
        <f>'výhled-aktiv '!C32</f>
        <v>VÝDAJE CELKEM</v>
      </c>
      <c r="E4" s="351">
        <f>'výhled-aktiv '!AA32</f>
        <v>39670</v>
      </c>
      <c r="F4" s="351">
        <f>'výhled-aktiv '!AB32</f>
        <v>37520</v>
      </c>
      <c r="G4" s="351">
        <f>'výhled-aktiv '!AC32</f>
        <v>38720</v>
      </c>
      <c r="H4" s="351">
        <f>'výhled-aktiv '!AD32</f>
        <v>40870</v>
      </c>
      <c r="I4" s="351">
        <f>'výhled-aktiv '!AE32</f>
        <v>42220</v>
      </c>
      <c r="J4" s="382">
        <f>SUM(E4:I4)</f>
        <v>199000</v>
      </c>
    </row>
    <row r="5" spans="1:10" s="308" customFormat="1" ht="26.15" customHeight="1" thickBot="1" x14ac:dyDescent="0.4">
      <c r="A5" s="312">
        <f>'výhled-aktiv '!A33</f>
        <v>31</v>
      </c>
      <c r="B5" s="326">
        <v>3</v>
      </c>
      <c r="C5" s="339"/>
      <c r="D5" s="340" t="str">
        <f>'výhled-aktiv '!C33</f>
        <v>SALDO PŘÍJMŮ A VÝDAJŮ</v>
      </c>
      <c r="E5" s="341">
        <f>'výhled-aktiv '!AA33</f>
        <v>10000</v>
      </c>
      <c r="F5" s="341">
        <f>'výhled-aktiv '!AB33</f>
        <v>15000</v>
      </c>
      <c r="G5" s="341">
        <f>'výhled-aktiv '!AC33</f>
        <v>17000</v>
      </c>
      <c r="H5" s="341">
        <f>'výhled-aktiv '!AD33</f>
        <v>18000</v>
      </c>
      <c r="I5" s="341">
        <f>'výhled-aktiv '!AE33</f>
        <v>20000</v>
      </c>
      <c r="J5" s="384">
        <f>SUM(E5:I5)</f>
        <v>80000</v>
      </c>
    </row>
    <row r="6" spans="1:10" s="308" customFormat="1" ht="45.65" customHeight="1" x14ac:dyDescent="0.35">
      <c r="A6" s="315">
        <f>'výhled-aktiv '!A49</f>
        <v>47</v>
      </c>
      <c r="B6" s="352">
        <v>5</v>
      </c>
      <c r="C6" s="349" t="str">
        <f>'výhled-aktiv '!B49</f>
        <v>rozvaha D.II.1</v>
      </c>
      <c r="D6" s="350" t="s">
        <v>165</v>
      </c>
      <c r="E6" s="351">
        <f>'výhled-aktiv '!AA49</f>
        <v>0</v>
      </c>
      <c r="F6" s="351">
        <f>'výhled-aktiv '!AB49</f>
        <v>0</v>
      </c>
      <c r="G6" s="351">
        <f>'výhled-aktiv '!AC49</f>
        <v>0</v>
      </c>
      <c r="H6" s="351">
        <f>'výhled-aktiv '!AD49</f>
        <v>0</v>
      </c>
      <c r="I6" s="351">
        <f>'výhled-aktiv '!AE49</f>
        <v>0</v>
      </c>
      <c r="J6" s="388"/>
    </row>
    <row r="7" spans="1:10" s="308" customFormat="1" ht="52.5" customHeight="1" thickBot="1" x14ac:dyDescent="0.4">
      <c r="A7" s="306">
        <f>'výhled-aktiv '!A50</f>
        <v>48</v>
      </c>
      <c r="B7" s="352">
        <v>6</v>
      </c>
      <c r="C7" s="349" t="str">
        <f>'výhled-aktiv '!B50</f>
        <v>rozvaha A.IV</v>
      </c>
      <c r="D7" s="350" t="str">
        <f>'výhled-aktiv '!C50</f>
        <v>Dlouhodobé pohledávky (účet 462 až 471)</v>
      </c>
      <c r="E7" s="351">
        <f>'výhled-aktiv '!AA50</f>
        <v>5.0999999999999996</v>
      </c>
      <c r="F7" s="351">
        <f>'výhled-aktiv '!AB50</f>
        <v>5.0999999999999996</v>
      </c>
      <c r="G7" s="351">
        <f>'výhled-aktiv '!AC50</f>
        <v>5.0999999999999996</v>
      </c>
      <c r="H7" s="351">
        <f>'výhled-aktiv '!AD50</f>
        <v>5.0999999999999996</v>
      </c>
      <c r="I7" s="351">
        <f>'výhled-aktiv '!AE50</f>
        <v>5.0999999999999996</v>
      </c>
      <c r="J7" s="388"/>
    </row>
    <row r="8" spans="1:10" s="308" customFormat="1" ht="78.75" customHeight="1" thickBot="1" x14ac:dyDescent="0.4">
      <c r="A8" s="312">
        <f>'výhled-aktiv '!A53</f>
        <v>51</v>
      </c>
      <c r="B8" s="348">
        <v>7</v>
      </c>
      <c r="C8" s="392" t="s">
        <v>163</v>
      </c>
      <c r="D8" s="496" t="str">
        <f>KUMULOVANY!C21</f>
        <v>Zbývá z provozního salda po uhrazení splátek úvěrů*</v>
      </c>
      <c r="E8" s="497">
        <f>'výhled-aktiv '!AA45</f>
        <v>10000</v>
      </c>
      <c r="F8" s="497">
        <f>'výhled-aktiv '!AB45</f>
        <v>15000</v>
      </c>
      <c r="G8" s="497">
        <f>'výhled-aktiv '!AC45</f>
        <v>17000</v>
      </c>
      <c r="H8" s="497">
        <f>'výhled-aktiv '!AD45</f>
        <v>18000</v>
      </c>
      <c r="I8" s="497">
        <f>'výhled-aktiv '!AE45</f>
        <v>20000</v>
      </c>
      <c r="J8" s="378">
        <f>ROUND(SUM(E8:I8),-3)</f>
        <v>80000</v>
      </c>
    </row>
    <row r="9" spans="1:10" ht="20.25" customHeight="1" thickBot="1" x14ac:dyDescent="0.4">
      <c r="B9" s="396">
        <v>8</v>
      </c>
      <c r="C9" s="397"/>
      <c r="D9" s="502" t="str">
        <f>'ÚD-zdroj'!D28</f>
        <v>Účty, resp.krátkodobá finanční aktiva dle rozpočtu k 31.12.2026</v>
      </c>
      <c r="E9" s="498">
        <f>IF('výhled-aktiv '!Z44&lt;0,0,'výhled-aktiv '!Z44)</f>
        <v>8832.7244300000002</v>
      </c>
      <c r="F9" s="498"/>
      <c r="G9" s="499"/>
      <c r="H9" s="499"/>
      <c r="I9" s="500"/>
      <c r="J9" s="377"/>
    </row>
    <row r="10" spans="1:10" ht="18" x14ac:dyDescent="0.4">
      <c r="B10" s="299"/>
      <c r="D10" s="323" t="s">
        <v>170</v>
      </c>
      <c r="E10" s="299"/>
      <c r="F10" s="299"/>
      <c r="G10" s="299"/>
      <c r="H10" s="299"/>
      <c r="I10" s="299"/>
      <c r="J10" s="329"/>
    </row>
    <row r="11" spans="1:10" ht="15.5" x14ac:dyDescent="0.35">
      <c r="C11" s="11"/>
      <c r="D11" s="428" t="s">
        <v>157</v>
      </c>
      <c r="E11" s="299"/>
      <c r="F11" s="299"/>
      <c r="G11" s="299"/>
      <c r="H11" s="299"/>
      <c r="I11" s="299"/>
      <c r="J11" s="364" t="s">
        <v>173</v>
      </c>
    </row>
    <row r="12" spans="1:10" ht="13.5" x14ac:dyDescent="0.3">
      <c r="D12" s="482"/>
    </row>
    <row r="29" spans="3:12" x14ac:dyDescent="0.3">
      <c r="C29" s="316"/>
      <c r="D29" s="316"/>
      <c r="J29" s="321"/>
      <c r="K29" s="322"/>
      <c r="L29" s="322"/>
    </row>
  </sheetData>
  <conditionalFormatting sqref="E9:F9">
    <cfRule type="cellIs" dxfId="27" priority="1" operator="lessThan">
      <formula>0</formula>
    </cfRule>
    <cfRule type="cellIs" dxfId="26" priority="2" stopIfTrue="1" operator="lessThan">
      <formula>0</formula>
    </cfRule>
  </conditionalFormatting>
  <conditionalFormatting sqref="E8:I8">
    <cfRule type="cellIs" dxfId="25" priority="17" operator="lessThan">
      <formula>0</formula>
    </cfRule>
    <cfRule type="cellIs" dxfId="24" priority="18" stopIfTrue="1" operator="lessThan">
      <formula>0</formula>
    </cfRule>
  </conditionalFormatting>
  <conditionalFormatting sqref="E5:J5">
    <cfRule type="cellIs" dxfId="23" priority="15" operator="lessThan">
      <formula>0</formula>
    </cfRule>
    <cfRule type="cellIs" dxfId="22" priority="16" stopIfTrue="1" operator="lessThan">
      <formula>0</formula>
    </cfRule>
  </conditionalFormatting>
  <conditionalFormatting sqref="J8:J9">
    <cfRule type="cellIs" dxfId="21" priority="14" operator="lessThan">
      <formula>0</formula>
    </cfRule>
  </conditionalFormatting>
  <hyperlinks>
    <hyperlink ref="J11" r:id="rId1" xr:uid="{0B123224-A87B-45C2-B7AD-3E72A056490D}"/>
  </hyperlinks>
  <pageMargins left="0.39370078740157483" right="0.39370078740157483" top="0.35433070866141736" bottom="0.39370078740157483" header="0.15748031496062992" footer="0.31496062992125984"/>
  <pageSetup paperSize="9" scale="66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8"/>
  <sheetViews>
    <sheetView showGridLines="0" zoomScale="70" zoomScaleNormal="70" zoomScaleSheetLayoutView="70" workbookViewId="0">
      <pane xSplit="4" ySplit="1" topLeftCell="E2" activePane="bottomRight" state="frozen"/>
      <selection activeCell="AB55" sqref="AB55"/>
      <selection pane="topRight" activeCell="AB55" sqref="AB55"/>
      <selection pane="bottomLeft" activeCell="AB55" sqref="AB55"/>
      <selection pane="bottomRight" activeCell="D28" sqref="D28"/>
    </sheetView>
  </sheetViews>
  <sheetFormatPr defaultColWidth="8.81640625" defaultRowHeight="13" x14ac:dyDescent="0.3"/>
  <cols>
    <col min="1" max="2" width="3.54296875" style="316" hidden="1" customWidth="1"/>
    <col min="3" max="3" width="15" style="319" hidden="1" customWidth="1"/>
    <col min="4" max="4" width="62.453125" style="317" customWidth="1"/>
    <col min="5" max="8" width="8.81640625" style="316" customWidth="1"/>
    <col min="9" max="11" width="10.1796875" style="316" customWidth="1"/>
    <col min="12" max="12" width="12.453125" style="316" customWidth="1"/>
    <col min="13" max="14" width="15.54296875" style="316" customWidth="1"/>
    <col min="15" max="15" width="16.453125" style="316" customWidth="1"/>
    <col min="16" max="20" width="18.81640625" style="316" customWidth="1"/>
    <col min="21" max="21" width="15.81640625" style="318" hidden="1" customWidth="1"/>
    <col min="22" max="22" width="10.54296875" style="316" customWidth="1"/>
    <col min="23" max="23" width="9.54296875" style="316" customWidth="1"/>
    <col min="24" max="16384" width="8.81640625" style="316"/>
  </cols>
  <sheetData>
    <row r="1" spans="1:21" s="299" customFormat="1" ht="18.5" thickBot="1" x14ac:dyDescent="0.45">
      <c r="D1" s="300" t="s">
        <v>164</v>
      </c>
      <c r="E1" s="301"/>
      <c r="F1" s="302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76" t="s">
        <v>0</v>
      </c>
      <c r="U1" s="303" t="str">
        <f>'výhled-aktiv '!AE1</f>
        <v>tis.Kč</v>
      </c>
    </row>
    <row r="2" spans="1:21" s="299" customFormat="1" ht="93.75" customHeight="1" x14ac:dyDescent="0.35">
      <c r="A2" s="304" t="str">
        <f>'výhled-aktiv '!A2</f>
        <v>ř.</v>
      </c>
      <c r="B2" s="305" t="s">
        <v>1</v>
      </c>
      <c r="C2" s="330" t="str">
        <f>'výhled-aktiv '!B2</f>
        <v>Druhové třídění dle rozp. skladby</v>
      </c>
      <c r="D2" s="331" t="str">
        <f>'výhled-aktiv '!C2</f>
        <v>Údaj</v>
      </c>
      <c r="E2" s="332">
        <f>'výhled-aktiv '!P2</f>
        <v>2016</v>
      </c>
      <c r="F2" s="332">
        <f>'výhled-aktiv '!Q2</f>
        <v>2017</v>
      </c>
      <c r="G2" s="332">
        <f>'výhled-aktiv '!R2</f>
        <v>2018</v>
      </c>
      <c r="H2" s="332">
        <f>'výhled-aktiv '!S2</f>
        <v>2019</v>
      </c>
      <c r="I2" s="332">
        <f>'výhled-aktiv '!T2</f>
        <v>2020</v>
      </c>
      <c r="J2" s="332">
        <f>'výhled-aktiv '!U2</f>
        <v>2021</v>
      </c>
      <c r="K2" s="332">
        <f>'výhled-aktiv '!V2</f>
        <v>2022</v>
      </c>
      <c r="L2" s="332">
        <f>'výhled-aktiv '!W2</f>
        <v>2023</v>
      </c>
      <c r="M2" s="332">
        <f>'výhled-aktiv '!X2</f>
        <v>2024</v>
      </c>
      <c r="N2" s="332">
        <f>'výhled-aktiv '!Y2</f>
        <v>2025</v>
      </c>
      <c r="O2" s="332" t="str">
        <f>'výhled-aktiv '!Z2</f>
        <v>2026 rozpočet duben</v>
      </c>
      <c r="P2" s="332" t="str">
        <f>'výhled-aktiv '!AA2</f>
        <v>2027 výhled</v>
      </c>
      <c r="Q2" s="332" t="str">
        <f>'výhled-aktiv '!AB2</f>
        <v>2028 výhled</v>
      </c>
      <c r="R2" s="332" t="str">
        <f>'výhled-aktiv '!AC2</f>
        <v>2029 výhled</v>
      </c>
      <c r="S2" s="332" t="str">
        <f>'výhled-aktiv '!AD2</f>
        <v>2030 výhled</v>
      </c>
      <c r="T2" s="332" t="str">
        <f>'výhled-aktiv '!AE2</f>
        <v>2031 výhled</v>
      </c>
      <c r="U2" s="379" t="s">
        <v>155</v>
      </c>
    </row>
    <row r="3" spans="1:21" s="307" customFormat="1" ht="18" x14ac:dyDescent="0.35">
      <c r="A3" s="306">
        <f>'výhled-aktiv '!A3</f>
        <v>1</v>
      </c>
      <c r="B3" s="324"/>
      <c r="C3" s="333">
        <f>'výhled-aktiv '!B3</f>
        <v>1</v>
      </c>
      <c r="D3" s="334" t="str">
        <f>'výhled-aktiv '!C3</f>
        <v>Daňové příjmy</v>
      </c>
      <c r="E3" s="335">
        <f>'výhled-aktiv '!P3</f>
        <v>14811.62</v>
      </c>
      <c r="F3" s="335">
        <f>'výhled-aktiv '!Q3</f>
        <v>16663.09</v>
      </c>
      <c r="G3" s="335">
        <f>'výhled-aktiv '!R3</f>
        <v>19284.41</v>
      </c>
      <c r="H3" s="335">
        <f>'výhled-aktiv '!S3</f>
        <v>21144.04</v>
      </c>
      <c r="I3" s="335">
        <f>'výhled-aktiv '!T3</f>
        <v>19963.330000000002</v>
      </c>
      <c r="J3" s="335">
        <f>'výhled-aktiv '!U3</f>
        <v>22699.4</v>
      </c>
      <c r="K3" s="335">
        <f>'výhled-aktiv '!V3</f>
        <v>26360.65</v>
      </c>
      <c r="L3" s="335">
        <f>'výhled-aktiv '!W3</f>
        <v>30074.77</v>
      </c>
      <c r="M3" s="335">
        <f>'výhled-aktiv '!X3</f>
        <v>30757.61</v>
      </c>
      <c r="N3" s="335">
        <f>'výhled-aktiv '!Y3</f>
        <v>32385.27</v>
      </c>
      <c r="O3" s="335">
        <f>'výhled-aktiv '!Z3</f>
        <v>39615</v>
      </c>
      <c r="P3" s="335">
        <f>'výhled-aktiv '!AA3</f>
        <v>41670</v>
      </c>
      <c r="Q3" s="335">
        <f>'výhled-aktiv '!AB3</f>
        <v>44520</v>
      </c>
      <c r="R3" s="335">
        <f>'výhled-aktiv '!AC3</f>
        <v>47720</v>
      </c>
      <c r="S3" s="335">
        <f>'výhled-aktiv '!AD3</f>
        <v>50870</v>
      </c>
      <c r="T3" s="335">
        <f>'výhled-aktiv '!AE3</f>
        <v>54220</v>
      </c>
      <c r="U3" s="380"/>
    </row>
    <row r="4" spans="1:21" s="308" customFormat="1" ht="18" x14ac:dyDescent="0.35">
      <c r="A4" s="306">
        <f>'výhled-aktiv '!A13</f>
        <v>11</v>
      </c>
      <c r="B4" s="324"/>
      <c r="C4" s="333">
        <f>'výhled-aktiv '!B13</f>
        <v>2</v>
      </c>
      <c r="D4" s="334" t="str">
        <f>'výhled-aktiv '!C13</f>
        <v>Nedaňové příjmy</v>
      </c>
      <c r="E4" s="335">
        <f>'výhled-aktiv '!P13</f>
        <v>741.9</v>
      </c>
      <c r="F4" s="335">
        <f>'výhled-aktiv '!Q13</f>
        <v>809.3</v>
      </c>
      <c r="G4" s="335">
        <f>'výhled-aktiv '!R13</f>
        <v>1633.83</v>
      </c>
      <c r="H4" s="335">
        <f>'výhled-aktiv '!S13</f>
        <v>3018.11</v>
      </c>
      <c r="I4" s="335">
        <f>'výhled-aktiv '!T13</f>
        <v>2021.17</v>
      </c>
      <c r="J4" s="335">
        <f>'výhled-aktiv '!U13</f>
        <v>2431.3000000000002</v>
      </c>
      <c r="K4" s="335">
        <f>'výhled-aktiv '!V13</f>
        <v>3590.13</v>
      </c>
      <c r="L4" s="335">
        <f>'výhled-aktiv '!W13</f>
        <v>4801.6499999999996</v>
      </c>
      <c r="M4" s="335">
        <f>'výhled-aktiv '!X13</f>
        <v>5781.58</v>
      </c>
      <c r="N4" s="335">
        <f>'výhled-aktiv '!Y13</f>
        <v>4278.45</v>
      </c>
      <c r="O4" s="335">
        <f>'výhled-aktiv '!Z13</f>
        <v>4097</v>
      </c>
      <c r="P4" s="335">
        <f>'výhled-aktiv '!AA13</f>
        <v>5000</v>
      </c>
      <c r="Q4" s="335">
        <f>'výhled-aktiv '!AB13</f>
        <v>5000</v>
      </c>
      <c r="R4" s="335">
        <f>'výhled-aktiv '!AC13</f>
        <v>5000</v>
      </c>
      <c r="S4" s="335">
        <f>'výhled-aktiv '!AD13</f>
        <v>5000</v>
      </c>
      <c r="T4" s="335">
        <f>'výhled-aktiv '!AE13</f>
        <v>5000</v>
      </c>
      <c r="U4" s="380"/>
    </row>
    <row r="5" spans="1:21" s="308" customFormat="1" ht="18" x14ac:dyDescent="0.35">
      <c r="A5" s="306">
        <f>'výhled-aktiv '!A18</f>
        <v>16</v>
      </c>
      <c r="B5" s="324"/>
      <c r="C5" s="333">
        <f>'výhled-aktiv '!B18</f>
        <v>3</v>
      </c>
      <c r="D5" s="334" t="str">
        <f>'výhled-aktiv '!C18</f>
        <v>Kapitálové příjmy</v>
      </c>
      <c r="E5" s="335">
        <f>'výhled-aktiv '!P18</f>
        <v>255.6</v>
      </c>
      <c r="F5" s="335">
        <f>'výhled-aktiv '!Q18</f>
        <v>463.6</v>
      </c>
      <c r="G5" s="335">
        <f>'výhled-aktiv '!R18</f>
        <v>329.93</v>
      </c>
      <c r="H5" s="335">
        <f>'výhled-aktiv '!S18</f>
        <v>421.04</v>
      </c>
      <c r="I5" s="335">
        <f>'výhled-aktiv '!T18</f>
        <v>127.5</v>
      </c>
      <c r="J5" s="335">
        <f>'výhled-aktiv '!U18</f>
        <v>773</v>
      </c>
      <c r="K5" s="335">
        <f>'výhled-aktiv '!V18</f>
        <v>165</v>
      </c>
      <c r="L5" s="335">
        <f>'výhled-aktiv '!W18</f>
        <v>175</v>
      </c>
      <c r="M5" s="335">
        <f>'výhled-aktiv '!X18</f>
        <v>568.52</v>
      </c>
      <c r="N5" s="335">
        <f>'výhled-aktiv '!Y18</f>
        <v>586.53</v>
      </c>
      <c r="O5" s="335">
        <f>'výhled-aktiv '!Z18</f>
        <v>260</v>
      </c>
      <c r="P5" s="335">
        <f>'výhled-aktiv '!AA18</f>
        <v>0</v>
      </c>
      <c r="Q5" s="335">
        <f>'výhled-aktiv '!AB18</f>
        <v>0</v>
      </c>
      <c r="R5" s="335">
        <f>'výhled-aktiv '!AC18</f>
        <v>0</v>
      </c>
      <c r="S5" s="335">
        <f>'výhled-aktiv '!AD18</f>
        <v>0</v>
      </c>
      <c r="T5" s="335">
        <f>'výhled-aktiv '!AE18</f>
        <v>0</v>
      </c>
      <c r="U5" s="380"/>
    </row>
    <row r="6" spans="1:21" s="308" customFormat="1" ht="18" x14ac:dyDescent="0.35">
      <c r="A6" s="306">
        <f>'výhled-aktiv '!A19</f>
        <v>17</v>
      </c>
      <c r="B6" s="324"/>
      <c r="C6" s="333">
        <f>'výhled-aktiv '!B19</f>
        <v>4</v>
      </c>
      <c r="D6" s="334" t="str">
        <f>'výhled-aktiv '!C19</f>
        <v>Přijaté dotace (transfery)</v>
      </c>
      <c r="E6" s="335">
        <f>'výhled-aktiv '!P19</f>
        <v>1015.97</v>
      </c>
      <c r="F6" s="335">
        <f>'výhled-aktiv '!Q19</f>
        <v>7869.26</v>
      </c>
      <c r="G6" s="335">
        <f>'výhled-aktiv '!R19</f>
        <v>3903.61</v>
      </c>
      <c r="H6" s="335">
        <f>'výhled-aktiv '!S19</f>
        <v>25660.68</v>
      </c>
      <c r="I6" s="335">
        <f>'výhled-aktiv '!T19</f>
        <v>79199.759999999995</v>
      </c>
      <c r="J6" s="335">
        <f>'výhled-aktiv '!U19</f>
        <v>15932.3</v>
      </c>
      <c r="K6" s="335">
        <f>'výhled-aktiv '!V19</f>
        <v>3392.99</v>
      </c>
      <c r="L6" s="335">
        <f>'výhled-aktiv '!W19</f>
        <v>12759.36</v>
      </c>
      <c r="M6" s="335">
        <f>'výhled-aktiv '!X19</f>
        <v>8696.19</v>
      </c>
      <c r="N6" s="335">
        <f>'výhled-aktiv '!Y19</f>
        <v>18051.849999999999</v>
      </c>
      <c r="O6" s="335">
        <f>'výhled-aktiv '!Z19</f>
        <v>9096</v>
      </c>
      <c r="P6" s="335">
        <f>'výhled-aktiv '!AA19</f>
        <v>3000</v>
      </c>
      <c r="Q6" s="335">
        <f>'výhled-aktiv '!AB19</f>
        <v>3000</v>
      </c>
      <c r="R6" s="335">
        <f>'výhled-aktiv '!AC19</f>
        <v>3000</v>
      </c>
      <c r="S6" s="335">
        <f>'výhled-aktiv '!AD19</f>
        <v>3000</v>
      </c>
      <c r="T6" s="335">
        <f>'výhled-aktiv '!AE19</f>
        <v>3000</v>
      </c>
      <c r="U6" s="380"/>
    </row>
    <row r="7" spans="1:21" s="310" customFormat="1" ht="35" x14ac:dyDescent="0.35">
      <c r="A7" s="309">
        <f>'výhled-aktiv '!A20</f>
        <v>18</v>
      </c>
      <c r="B7" s="325"/>
      <c r="C7" s="336">
        <f>'výhled-aktiv '!B20</f>
        <v>41</v>
      </c>
      <c r="D7" s="337" t="str">
        <f>'výhled-aktiv '!C20</f>
        <v>Neinvestiční přijaté dotace (transfery vč. hospodářské činnosti)</v>
      </c>
      <c r="E7" s="338">
        <f>'výhled-aktiv '!P20</f>
        <v>986.05</v>
      </c>
      <c r="F7" s="338">
        <f>'výhled-aktiv '!Q20</f>
        <v>799.75</v>
      </c>
      <c r="G7" s="338">
        <f>'výhled-aktiv '!R20</f>
        <v>2017.61</v>
      </c>
      <c r="H7" s="338">
        <f>'výhled-aktiv '!S20</f>
        <v>1046.28</v>
      </c>
      <c r="I7" s="338">
        <f>'výhled-aktiv '!T20</f>
        <v>2290.5</v>
      </c>
      <c r="J7" s="338">
        <f>'výhled-aktiv '!U20</f>
        <v>1826.6</v>
      </c>
      <c r="K7" s="338">
        <f>'výhled-aktiv '!V20</f>
        <v>2015.96</v>
      </c>
      <c r="L7" s="338">
        <f>'výhled-aktiv '!W20</f>
        <v>3074.14</v>
      </c>
      <c r="M7" s="338">
        <f>'výhled-aktiv '!X20</f>
        <v>1589.07</v>
      </c>
      <c r="N7" s="338">
        <f>'výhled-aktiv '!Y20</f>
        <v>2510.09</v>
      </c>
      <c r="O7" s="338">
        <f>'výhled-aktiv '!Z20</f>
        <v>3687</v>
      </c>
      <c r="P7" s="338">
        <f>'výhled-aktiv '!AA20</f>
        <v>3000</v>
      </c>
      <c r="Q7" s="338">
        <f>'výhled-aktiv '!AB20</f>
        <v>3000</v>
      </c>
      <c r="R7" s="338">
        <f>'výhled-aktiv '!AC20</f>
        <v>3000</v>
      </c>
      <c r="S7" s="338">
        <f>'výhled-aktiv '!AD20</f>
        <v>3000</v>
      </c>
      <c r="T7" s="338">
        <f>'výhled-aktiv '!AE20</f>
        <v>3000</v>
      </c>
      <c r="U7" s="381"/>
    </row>
    <row r="8" spans="1:21" s="310" customFormat="1" ht="17.5" x14ac:dyDescent="0.35">
      <c r="A8" s="309">
        <f>'výhled-aktiv '!A21</f>
        <v>20</v>
      </c>
      <c r="B8" s="325"/>
      <c r="C8" s="336">
        <f>'výhled-aktiv '!B21</f>
        <v>42</v>
      </c>
      <c r="D8" s="337" t="str">
        <f>'výhled-aktiv '!C21</f>
        <v>Investiční přijaté dotace (transfery)</v>
      </c>
      <c r="E8" s="338">
        <f>'výhled-aktiv '!P21</f>
        <v>29.91</v>
      </c>
      <c r="F8" s="338">
        <f>'výhled-aktiv '!Q21</f>
        <v>7069.51</v>
      </c>
      <c r="G8" s="338">
        <f>'výhled-aktiv '!R21</f>
        <v>1886</v>
      </c>
      <c r="H8" s="338">
        <f>'výhled-aktiv '!S21</f>
        <v>24614.400000000001</v>
      </c>
      <c r="I8" s="338">
        <f>'výhled-aktiv '!T21</f>
        <v>76909.259999999995</v>
      </c>
      <c r="J8" s="338">
        <f>'výhled-aktiv '!U21</f>
        <v>14105.8</v>
      </c>
      <c r="K8" s="338">
        <f>'výhled-aktiv '!V21</f>
        <v>1377.03</v>
      </c>
      <c r="L8" s="338">
        <f>'výhled-aktiv '!W21</f>
        <v>9685.2199999999993</v>
      </c>
      <c r="M8" s="338">
        <f>'výhled-aktiv '!X21</f>
        <v>7107.12</v>
      </c>
      <c r="N8" s="338">
        <f>'výhled-aktiv '!Y21</f>
        <v>15541.76</v>
      </c>
      <c r="O8" s="338">
        <f>'výhled-aktiv '!Z21</f>
        <v>5410</v>
      </c>
      <c r="P8" s="338">
        <f>'výhled-aktiv '!AA21</f>
        <v>0</v>
      </c>
      <c r="Q8" s="338">
        <f>'výhled-aktiv '!AB21</f>
        <v>0</v>
      </c>
      <c r="R8" s="338">
        <f>'výhled-aktiv '!AC21</f>
        <v>0</v>
      </c>
      <c r="S8" s="338">
        <f>'výhled-aktiv '!AD21</f>
        <v>0</v>
      </c>
      <c r="T8" s="338">
        <f>'výhled-aktiv '!AE21</f>
        <v>0</v>
      </c>
      <c r="U8" s="381"/>
    </row>
    <row r="9" spans="1:21" s="310" customFormat="1" ht="35" x14ac:dyDescent="0.35">
      <c r="A9" s="309">
        <f>'výhled-aktiv '!A22</f>
        <v>0</v>
      </c>
      <c r="B9" s="325"/>
      <c r="C9" s="336">
        <f>'výhled-aktiv '!B22</f>
        <v>0</v>
      </c>
      <c r="D9" s="337" t="str">
        <f>'výhled-aktiv '!C22</f>
        <v xml:space="preserve">       z toho:  4112 a 4212 - neinvestiční a investiční dotace ze SR - souhrnného dotačního vztahu</v>
      </c>
      <c r="E9" s="338">
        <f>'výhled-aktiv '!P22</f>
        <v>539.5</v>
      </c>
      <c r="F9" s="338">
        <f>'výhled-aktiv '!Q22</f>
        <v>575.79999999999995</v>
      </c>
      <c r="G9" s="338">
        <f>'výhled-aktiv '!R22</f>
        <v>608.1</v>
      </c>
      <c r="H9" s="338">
        <f>'výhled-aktiv '!S22</f>
        <v>696.7</v>
      </c>
      <c r="I9" s="338">
        <f>'výhled-aktiv '!T22</f>
        <v>662.2</v>
      </c>
      <c r="J9" s="338">
        <f>'výhled-aktiv '!U22</f>
        <v>740.9</v>
      </c>
      <c r="K9" s="338">
        <f>'výhled-aktiv '!V22</f>
        <v>676</v>
      </c>
      <c r="L9" s="338">
        <f>'výhled-aktiv '!W22</f>
        <v>702.1</v>
      </c>
      <c r="M9" s="338">
        <f>'výhled-aktiv '!X22</f>
        <v>709.6</v>
      </c>
      <c r="N9" s="338">
        <f>'výhled-aktiv '!Y22</f>
        <v>673.2</v>
      </c>
      <c r="O9" s="338">
        <f>'výhled-aktiv '!Z22</f>
        <v>644</v>
      </c>
      <c r="P9" s="338">
        <f>'výhled-aktiv '!AA22</f>
        <v>600</v>
      </c>
      <c r="Q9" s="338">
        <f>'výhled-aktiv '!AB22</f>
        <v>600</v>
      </c>
      <c r="R9" s="338">
        <f>'výhled-aktiv '!AC22</f>
        <v>600</v>
      </c>
      <c r="S9" s="338">
        <f>'výhled-aktiv '!AD22</f>
        <v>600</v>
      </c>
      <c r="T9" s="338">
        <f>'výhled-aktiv '!AE22</f>
        <v>600</v>
      </c>
      <c r="U9" s="381"/>
    </row>
    <row r="10" spans="1:21" s="308" customFormat="1" ht="46.4" customHeight="1" x14ac:dyDescent="0.35">
      <c r="A10" s="311">
        <f>'výhled-aktiv '!A23</f>
        <v>21</v>
      </c>
      <c r="B10" s="348">
        <v>1</v>
      </c>
      <c r="C10" s="349" t="str">
        <f>'výhled-aktiv '!B23</f>
        <v>1+2+3+4</v>
      </c>
      <c r="D10" s="350" t="str">
        <f>'výhled-aktiv '!C23</f>
        <v>PŘÍJMY CELKEM</v>
      </c>
      <c r="E10" s="351">
        <f>'výhled-aktiv '!P23</f>
        <v>16825.09</v>
      </c>
      <c r="F10" s="351">
        <f>'výhled-aktiv '!Q23</f>
        <v>25805.25</v>
      </c>
      <c r="G10" s="351">
        <f>'výhled-aktiv '!R23</f>
        <v>25151.78</v>
      </c>
      <c r="H10" s="351">
        <f>'výhled-aktiv '!S23</f>
        <v>50243.87</v>
      </c>
      <c r="I10" s="351">
        <f>'výhled-aktiv '!T23</f>
        <v>101311.76</v>
      </c>
      <c r="J10" s="351">
        <f>'výhled-aktiv '!U23</f>
        <v>41836</v>
      </c>
      <c r="K10" s="351">
        <f>'výhled-aktiv '!V23</f>
        <v>33508.770000000004</v>
      </c>
      <c r="L10" s="351">
        <f>'výhled-aktiv '!W23</f>
        <v>47810.78</v>
      </c>
      <c r="M10" s="351">
        <f>'výhled-aktiv '!X23</f>
        <v>45803.9</v>
      </c>
      <c r="N10" s="351">
        <f>'výhled-aktiv '!Y23</f>
        <v>55302.1</v>
      </c>
      <c r="O10" s="351">
        <f>'výhled-aktiv '!Z23</f>
        <v>53068</v>
      </c>
      <c r="P10" s="351">
        <f>'výhled-aktiv '!AA23</f>
        <v>49670</v>
      </c>
      <c r="Q10" s="351">
        <f>'výhled-aktiv '!AB23</f>
        <v>52520</v>
      </c>
      <c r="R10" s="351">
        <f>'výhled-aktiv '!AC23</f>
        <v>55720</v>
      </c>
      <c r="S10" s="351">
        <f>'výhled-aktiv '!AD23</f>
        <v>58870</v>
      </c>
      <c r="T10" s="351">
        <f>'výhled-aktiv '!AE23</f>
        <v>62220</v>
      </c>
      <c r="U10" s="382">
        <f>SUM(M10:T10)</f>
        <v>433174</v>
      </c>
    </row>
    <row r="11" spans="1:21" s="308" customFormat="1" ht="18" customHeight="1" x14ac:dyDescent="0.35">
      <c r="A11" s="306">
        <f>'výhled-aktiv '!A24</f>
        <v>22</v>
      </c>
      <c r="B11" s="352"/>
      <c r="C11" s="353">
        <f>'výhled-aktiv '!B24</f>
        <v>5</v>
      </c>
      <c r="D11" s="354" t="str">
        <f>'výhled-aktiv '!C24</f>
        <v>Běžné výdaje</v>
      </c>
      <c r="E11" s="355">
        <f>'výhled-aktiv '!P24</f>
        <v>10377.83</v>
      </c>
      <c r="F11" s="355">
        <f>'výhled-aktiv '!Q24</f>
        <v>10816.59</v>
      </c>
      <c r="G11" s="355">
        <f>'výhled-aktiv '!R24</f>
        <v>15557.9</v>
      </c>
      <c r="H11" s="355">
        <f>'výhled-aktiv '!S24</f>
        <v>13717.71</v>
      </c>
      <c r="I11" s="355">
        <f>'výhled-aktiv '!T24</f>
        <v>16619.96</v>
      </c>
      <c r="J11" s="355">
        <f>'výhled-aktiv '!U24</f>
        <v>17179.5</v>
      </c>
      <c r="K11" s="355">
        <f>'výhled-aktiv '!V24</f>
        <v>25729.26</v>
      </c>
      <c r="L11" s="355">
        <f>'výhled-aktiv '!W24</f>
        <v>23264.52</v>
      </c>
      <c r="M11" s="355">
        <f>'výhled-aktiv '!X24</f>
        <v>24872.87</v>
      </c>
      <c r="N11" s="355">
        <f>'výhled-aktiv '!Y24</f>
        <v>25030.7</v>
      </c>
      <c r="O11" s="355">
        <f>'výhled-aktiv '!Z24</f>
        <v>38126</v>
      </c>
      <c r="P11" s="355">
        <f>'výhled-aktiv '!AA24</f>
        <v>39670</v>
      </c>
      <c r="Q11" s="355">
        <f>'výhled-aktiv '!AB24</f>
        <v>37520</v>
      </c>
      <c r="R11" s="355">
        <f>'výhled-aktiv '!AC24</f>
        <v>38720</v>
      </c>
      <c r="S11" s="355">
        <f>'výhled-aktiv '!AD24</f>
        <v>40870</v>
      </c>
      <c r="T11" s="355">
        <f>'výhled-aktiv '!AE24</f>
        <v>42220</v>
      </c>
      <c r="U11" s="383"/>
    </row>
    <row r="12" spans="1:21" s="308" customFormat="1" ht="36" customHeight="1" x14ac:dyDescent="0.35">
      <c r="A12" s="306">
        <f>'výhled-aktiv '!A31</f>
        <v>29</v>
      </c>
      <c r="B12" s="352"/>
      <c r="C12" s="353">
        <f>'výhled-aktiv '!B31</f>
        <v>6</v>
      </c>
      <c r="D12" s="354" t="str">
        <f>'výhled-aktiv '!C31</f>
        <v xml:space="preserve">Kapitálové výdaje </v>
      </c>
      <c r="E12" s="355">
        <f>'výhled-aktiv '!P31</f>
        <v>506.63</v>
      </c>
      <c r="F12" s="355">
        <f>'výhled-aktiv '!Q31</f>
        <v>9156.0300000000007</v>
      </c>
      <c r="G12" s="355">
        <f>'výhled-aktiv '!R31</f>
        <v>8350.94</v>
      </c>
      <c r="H12" s="355">
        <f>'výhled-aktiv '!S31</f>
        <v>15611.04</v>
      </c>
      <c r="I12" s="355">
        <f>'výhled-aktiv '!T31</f>
        <v>105570.06</v>
      </c>
      <c r="J12" s="355">
        <f>'výhled-aktiv '!U31</f>
        <v>40208</v>
      </c>
      <c r="K12" s="355">
        <f>'výhled-aktiv '!V31</f>
        <v>8530.9599999999991</v>
      </c>
      <c r="L12" s="355">
        <f>'výhled-aktiv '!W31</f>
        <v>17655.599999999999</v>
      </c>
      <c r="M12" s="355">
        <f>'výhled-aktiv '!X31</f>
        <v>46531.39</v>
      </c>
      <c r="N12" s="355">
        <f>'výhled-aktiv '!Y31</f>
        <v>12597.39</v>
      </c>
      <c r="O12" s="355">
        <f>'výhled-aktiv '!Z31</f>
        <v>18244</v>
      </c>
      <c r="P12" s="355">
        <f>'výhled-aktiv '!AA31</f>
        <v>0</v>
      </c>
      <c r="Q12" s="355">
        <f>'výhled-aktiv '!AB31</f>
        <v>0</v>
      </c>
      <c r="R12" s="355">
        <f>'výhled-aktiv '!AC31</f>
        <v>0</v>
      </c>
      <c r="S12" s="355">
        <f>'výhled-aktiv '!AD31</f>
        <v>0</v>
      </c>
      <c r="T12" s="355">
        <f>'výhled-aktiv '!AE31</f>
        <v>0</v>
      </c>
      <c r="U12" s="383"/>
    </row>
    <row r="13" spans="1:21" s="308" customFormat="1" ht="43.4" customHeight="1" thickBot="1" x14ac:dyDescent="0.4">
      <c r="A13" s="311">
        <f>'výhled-aktiv '!A32</f>
        <v>30</v>
      </c>
      <c r="B13" s="348">
        <v>2</v>
      </c>
      <c r="C13" s="349" t="str">
        <f>'výhled-aktiv '!B32</f>
        <v>5+6</v>
      </c>
      <c r="D13" s="350" t="str">
        <f>'výhled-aktiv '!C32</f>
        <v>VÝDAJE CELKEM</v>
      </c>
      <c r="E13" s="351">
        <f>'výhled-aktiv '!P32</f>
        <v>10884.46</v>
      </c>
      <c r="F13" s="351">
        <f>'výhled-aktiv '!Q32</f>
        <v>19972.620000000003</v>
      </c>
      <c r="G13" s="351">
        <f>'výhled-aktiv '!R32</f>
        <v>23908.84</v>
      </c>
      <c r="H13" s="351">
        <f>'výhled-aktiv '!S32</f>
        <v>29328.75</v>
      </c>
      <c r="I13" s="351">
        <f>'výhled-aktiv '!T32</f>
        <v>122190.01999999999</v>
      </c>
      <c r="J13" s="351">
        <f>'výhled-aktiv '!U32</f>
        <v>57387.5</v>
      </c>
      <c r="K13" s="351">
        <f>'výhled-aktiv '!V32</f>
        <v>34260.22</v>
      </c>
      <c r="L13" s="351">
        <f>'výhled-aktiv '!W32</f>
        <v>40920.119999999995</v>
      </c>
      <c r="M13" s="351">
        <f>'výhled-aktiv '!X32</f>
        <v>71404.259999999995</v>
      </c>
      <c r="N13" s="351">
        <f>'výhled-aktiv '!Y32</f>
        <v>37628.089999999997</v>
      </c>
      <c r="O13" s="351">
        <f>'výhled-aktiv '!Z32</f>
        <v>56370</v>
      </c>
      <c r="P13" s="351">
        <f>'výhled-aktiv '!AA32</f>
        <v>39670</v>
      </c>
      <c r="Q13" s="351">
        <f>'výhled-aktiv '!AB32</f>
        <v>37520</v>
      </c>
      <c r="R13" s="351">
        <f>'výhled-aktiv '!AC32</f>
        <v>38720</v>
      </c>
      <c r="S13" s="351">
        <f>'výhled-aktiv '!AD32</f>
        <v>40870</v>
      </c>
      <c r="T13" s="351">
        <f>'výhled-aktiv '!AE32</f>
        <v>42220</v>
      </c>
      <c r="U13" s="382">
        <f t="shared" ref="U13:U21" si="0">SUM(M13:T13)</f>
        <v>364402.35</v>
      </c>
    </row>
    <row r="14" spans="1:21" s="308" customFormat="1" ht="26.15" customHeight="1" thickBot="1" x14ac:dyDescent="0.4">
      <c r="A14" s="312">
        <f>'výhled-aktiv '!A33</f>
        <v>31</v>
      </c>
      <c r="B14" s="326">
        <v>3</v>
      </c>
      <c r="C14" s="339"/>
      <c r="D14" s="340" t="str">
        <f>'výhled-aktiv '!C33</f>
        <v>SALDO PŘÍJMŮ A VÝDAJŮ</v>
      </c>
      <c r="E14" s="341">
        <f>'výhled-aktiv '!P33</f>
        <v>5940.630000000001</v>
      </c>
      <c r="F14" s="341">
        <f>'výhled-aktiv '!Q33</f>
        <v>5832.6299999999974</v>
      </c>
      <c r="G14" s="341">
        <f>'výhled-aktiv '!R33</f>
        <v>1242.9399999999987</v>
      </c>
      <c r="H14" s="341">
        <f>'výhled-aktiv '!S33</f>
        <v>20915.120000000003</v>
      </c>
      <c r="I14" s="341">
        <f>'výhled-aktiv '!T33</f>
        <v>-20878.259999999995</v>
      </c>
      <c r="J14" s="341">
        <f>'výhled-aktiv '!U33</f>
        <v>-15551.5</v>
      </c>
      <c r="K14" s="341">
        <f>'výhled-aktiv '!V33</f>
        <v>-751.44999999999709</v>
      </c>
      <c r="L14" s="341">
        <f>'výhled-aktiv '!W33</f>
        <v>6890.6600000000035</v>
      </c>
      <c r="M14" s="341">
        <f>'výhled-aktiv '!X33</f>
        <v>-25600.359999999993</v>
      </c>
      <c r="N14" s="341">
        <f>'výhled-aktiv '!Y33</f>
        <v>17674.010000000002</v>
      </c>
      <c r="O14" s="341">
        <f>'výhled-aktiv '!Z33</f>
        <v>-3302</v>
      </c>
      <c r="P14" s="341">
        <f>'výhled-aktiv '!AA33</f>
        <v>10000</v>
      </c>
      <c r="Q14" s="341">
        <f>'výhled-aktiv '!AB33</f>
        <v>15000</v>
      </c>
      <c r="R14" s="341">
        <f>'výhled-aktiv '!AC33</f>
        <v>17000</v>
      </c>
      <c r="S14" s="341">
        <f>'výhled-aktiv '!AD33</f>
        <v>18000</v>
      </c>
      <c r="T14" s="341">
        <f>'výhled-aktiv '!AE33</f>
        <v>20000</v>
      </c>
      <c r="U14" s="384">
        <f t="shared" si="0"/>
        <v>68771.650000000009</v>
      </c>
    </row>
    <row r="15" spans="1:21" s="308" customFormat="1" ht="18" customHeight="1" x14ac:dyDescent="0.35">
      <c r="A15" s="306">
        <f>'výhled-aktiv '!A34</f>
        <v>32</v>
      </c>
      <c r="B15" s="324"/>
      <c r="C15" s="333" t="str">
        <f>'výhled-aktiv '!B34</f>
        <v>1+2+41</v>
      </c>
      <c r="D15" s="334" t="str">
        <f>'výhled-aktiv '!C34</f>
        <v>Běžné příjmy (včetně neinvestičních dotací)</v>
      </c>
      <c r="E15" s="335">
        <f>'výhled-aktiv '!P34</f>
        <v>16539.57</v>
      </c>
      <c r="F15" s="335">
        <f>'výhled-aktiv '!Q34</f>
        <v>18272.14</v>
      </c>
      <c r="G15" s="335">
        <f>'výhled-aktiv '!R34</f>
        <v>22935.85</v>
      </c>
      <c r="H15" s="335">
        <f>'výhled-aktiv '!S34</f>
        <v>25208.43</v>
      </c>
      <c r="I15" s="335">
        <f>'výhled-aktiv '!T34</f>
        <v>24275</v>
      </c>
      <c r="J15" s="335">
        <f>'výhled-aktiv '!U34</f>
        <v>26957.3</v>
      </c>
      <c r="K15" s="335">
        <f>'výhled-aktiv '!V34</f>
        <v>31966.74</v>
      </c>
      <c r="L15" s="335">
        <f>'výhled-aktiv '!W34</f>
        <v>37950.559999999998</v>
      </c>
      <c r="M15" s="335">
        <f>'výhled-aktiv '!X34</f>
        <v>38128.26</v>
      </c>
      <c r="N15" s="335">
        <f>'výhled-aktiv '!Y34</f>
        <v>39173.81</v>
      </c>
      <c r="O15" s="335">
        <f>'výhled-aktiv '!Z34</f>
        <v>47399</v>
      </c>
      <c r="P15" s="335">
        <f>'výhled-aktiv '!AA34</f>
        <v>49670</v>
      </c>
      <c r="Q15" s="335">
        <f>'výhled-aktiv '!AB34</f>
        <v>52520</v>
      </c>
      <c r="R15" s="335">
        <f>'výhled-aktiv '!AC34</f>
        <v>55720</v>
      </c>
      <c r="S15" s="335">
        <f>'výhled-aktiv '!AD34</f>
        <v>58870</v>
      </c>
      <c r="T15" s="335">
        <f>'výhled-aktiv '!AE34</f>
        <v>62220</v>
      </c>
      <c r="U15" s="385">
        <f t="shared" si="0"/>
        <v>403701.07</v>
      </c>
    </row>
    <row r="16" spans="1:21" s="308" customFormat="1" ht="18" customHeight="1" thickBot="1" x14ac:dyDescent="0.4">
      <c r="A16" s="306">
        <f>'výhled-aktiv '!A35</f>
        <v>33</v>
      </c>
      <c r="B16" s="324"/>
      <c r="C16" s="333">
        <f>'výhled-aktiv '!B35</f>
        <v>5</v>
      </c>
      <c r="D16" s="334" t="str">
        <f>'výhled-aktiv '!C35</f>
        <v>Běžné výdaje (provozní)*</v>
      </c>
      <c r="E16" s="335">
        <f>'výhled-aktiv '!P35</f>
        <v>10377.83</v>
      </c>
      <c r="F16" s="335">
        <f>'výhled-aktiv '!Q35</f>
        <v>10816.59</v>
      </c>
      <c r="G16" s="335">
        <f>'výhled-aktiv '!R35</f>
        <v>15557.9</v>
      </c>
      <c r="H16" s="335">
        <f>'výhled-aktiv '!S35</f>
        <v>13717.71</v>
      </c>
      <c r="I16" s="335">
        <f>'výhled-aktiv '!T35</f>
        <v>16619.96</v>
      </c>
      <c r="J16" s="335">
        <f>'výhled-aktiv '!U35</f>
        <v>17179.5</v>
      </c>
      <c r="K16" s="335">
        <f>'výhled-aktiv '!V35</f>
        <v>25729.26</v>
      </c>
      <c r="L16" s="335">
        <f>'výhled-aktiv '!W35</f>
        <v>23264.52</v>
      </c>
      <c r="M16" s="335">
        <f>'výhled-aktiv '!X35</f>
        <v>24872.87</v>
      </c>
      <c r="N16" s="335">
        <f>'výhled-aktiv '!Y35</f>
        <v>25030.7</v>
      </c>
      <c r="O16" s="335">
        <f>'výhled-aktiv '!Z35</f>
        <v>38126</v>
      </c>
      <c r="P16" s="335">
        <f>'výhled-aktiv '!AA35</f>
        <v>39670</v>
      </c>
      <c r="Q16" s="335">
        <f>'výhled-aktiv '!AB35</f>
        <v>37520</v>
      </c>
      <c r="R16" s="335">
        <f>'výhled-aktiv '!AC35</f>
        <v>38720</v>
      </c>
      <c r="S16" s="335">
        <f>'výhled-aktiv '!AD35</f>
        <v>40870</v>
      </c>
      <c r="T16" s="335">
        <f>'výhled-aktiv '!AE35</f>
        <v>42220</v>
      </c>
      <c r="U16" s="385">
        <f t="shared" si="0"/>
        <v>287029.57</v>
      </c>
    </row>
    <row r="17" spans="1:21" s="308" customFormat="1" ht="18.75" customHeight="1" thickBot="1" x14ac:dyDescent="0.4">
      <c r="A17" s="312">
        <f>'výhled-aktiv '!A36</f>
        <v>34</v>
      </c>
      <c r="B17" s="326"/>
      <c r="C17" s="339" t="str">
        <f>'výhled-aktiv '!B36</f>
        <v>ř.32-ř.33</v>
      </c>
      <c r="D17" s="340" t="str">
        <f>'výhled-aktiv '!C36</f>
        <v>PROVOZNÍ SALDO (POZOR, ve výhledu + opravy)</v>
      </c>
      <c r="E17" s="341">
        <f>'výhled-aktiv '!P36</f>
        <v>6161.74</v>
      </c>
      <c r="F17" s="341">
        <f>'výhled-aktiv '!Q36</f>
        <v>7455.5499999999993</v>
      </c>
      <c r="G17" s="341">
        <f>'výhled-aktiv '!R36</f>
        <v>7377.9499999999989</v>
      </c>
      <c r="H17" s="341">
        <f>'výhled-aktiv '!S36</f>
        <v>11490.720000000001</v>
      </c>
      <c r="I17" s="341">
        <f>'výhled-aktiv '!T36</f>
        <v>7655.0400000000009</v>
      </c>
      <c r="J17" s="341">
        <f>'výhled-aktiv '!U36</f>
        <v>9777.7999999999993</v>
      </c>
      <c r="K17" s="341">
        <f>'výhled-aktiv '!V36</f>
        <v>6237.4800000000032</v>
      </c>
      <c r="L17" s="341">
        <f>'výhled-aktiv '!W36</f>
        <v>14686.039999999997</v>
      </c>
      <c r="M17" s="341">
        <f>'výhled-aktiv '!X36</f>
        <v>13255.390000000003</v>
      </c>
      <c r="N17" s="341">
        <f>'výhled-aktiv '!Y36</f>
        <v>14143.109999999997</v>
      </c>
      <c r="O17" s="341">
        <f>'výhled-aktiv '!Z36</f>
        <v>9273</v>
      </c>
      <c r="P17" s="341">
        <f>'výhled-aktiv '!AA36</f>
        <v>10000</v>
      </c>
      <c r="Q17" s="341">
        <f>'výhled-aktiv '!AB36</f>
        <v>15000</v>
      </c>
      <c r="R17" s="341">
        <f>'výhled-aktiv '!AC36</f>
        <v>17000</v>
      </c>
      <c r="S17" s="341">
        <f>'výhled-aktiv '!AD36</f>
        <v>18000</v>
      </c>
      <c r="T17" s="341">
        <f>'výhled-aktiv '!AE36</f>
        <v>20000</v>
      </c>
      <c r="U17" s="384">
        <f t="shared" si="0"/>
        <v>116671.5</v>
      </c>
    </row>
    <row r="18" spans="1:21" s="308" customFormat="1" ht="18" customHeight="1" x14ac:dyDescent="0.35">
      <c r="A18" s="306">
        <f>'výhled-aktiv '!A37</f>
        <v>35</v>
      </c>
      <c r="B18" s="324"/>
      <c r="C18" s="333">
        <f>'výhled-aktiv '!B37</f>
        <v>8123</v>
      </c>
      <c r="D18" s="334" t="str">
        <f>'výhled-aktiv '!C37</f>
        <v xml:space="preserve">Přijaté dlouhodobé půjčky </v>
      </c>
      <c r="E18" s="335">
        <f>'výhled-aktiv '!P37</f>
        <v>0</v>
      </c>
      <c r="F18" s="335">
        <f>'výhled-aktiv '!Q37</f>
        <v>0</v>
      </c>
      <c r="G18" s="335">
        <f>'výhled-aktiv '!R37</f>
        <v>0</v>
      </c>
      <c r="H18" s="335">
        <f>'výhled-aktiv '!S37</f>
        <v>0</v>
      </c>
      <c r="I18" s="335">
        <f>'výhled-aktiv '!T37</f>
        <v>0</v>
      </c>
      <c r="J18" s="335">
        <f>'výhled-aktiv '!U37</f>
        <v>0</v>
      </c>
      <c r="K18" s="335">
        <f>'výhled-aktiv '!V37</f>
        <v>0</v>
      </c>
      <c r="L18" s="335">
        <f>'výhled-aktiv '!W37</f>
        <v>0</v>
      </c>
      <c r="M18" s="335">
        <f>'výhled-aktiv '!X37</f>
        <v>16709.490000000002</v>
      </c>
      <c r="N18" s="335">
        <f>'výhled-aktiv '!Y37</f>
        <v>0</v>
      </c>
      <c r="O18" s="335">
        <f>'výhled-aktiv '!Z37</f>
        <v>0</v>
      </c>
      <c r="P18" s="335">
        <f>'výhled-aktiv '!AA37</f>
        <v>0</v>
      </c>
      <c r="Q18" s="335">
        <f>'výhled-aktiv '!AB37</f>
        <v>0</v>
      </c>
      <c r="R18" s="335">
        <f>'výhled-aktiv '!AC37</f>
        <v>0</v>
      </c>
      <c r="S18" s="335">
        <f>'výhled-aktiv '!AD37</f>
        <v>0</v>
      </c>
      <c r="T18" s="335">
        <f>'výhled-aktiv '!AE37</f>
        <v>0</v>
      </c>
      <c r="U18" s="385">
        <f t="shared" si="0"/>
        <v>16709.490000000002</v>
      </c>
    </row>
    <row r="19" spans="1:21" s="308" customFormat="1" ht="48" customHeight="1" x14ac:dyDescent="0.35">
      <c r="A19" s="306">
        <f>'výhled-aktiv '!A38</f>
        <v>36</v>
      </c>
      <c r="B19" s="324">
        <v>4</v>
      </c>
      <c r="C19" s="333">
        <f>'výhled-aktiv '!B38</f>
        <v>8124</v>
      </c>
      <c r="D19" s="334" t="str">
        <f>'výhled-aktiv '!C38</f>
        <v>Uhrazené splátky dlouhodobých přijatých půjčených prostředků</v>
      </c>
      <c r="E19" s="335">
        <f>'výhled-aktiv '!P38</f>
        <v>0</v>
      </c>
      <c r="F19" s="335">
        <f>'výhled-aktiv '!Q38</f>
        <v>0</v>
      </c>
      <c r="G19" s="335">
        <f>'výhled-aktiv '!R38</f>
        <v>0</v>
      </c>
      <c r="H19" s="335">
        <f>'výhled-aktiv '!S38</f>
        <v>0</v>
      </c>
      <c r="I19" s="335">
        <f>'výhled-aktiv '!T38</f>
        <v>0</v>
      </c>
      <c r="J19" s="335">
        <f>'výhled-aktiv '!U38</f>
        <v>0</v>
      </c>
      <c r="K19" s="335">
        <f>'výhled-aktiv '!V38</f>
        <v>0</v>
      </c>
      <c r="L19" s="335">
        <f>'výhled-aktiv '!W38</f>
        <v>0</v>
      </c>
      <c r="M19" s="335">
        <f>'výhled-aktiv '!X38</f>
        <v>754.72</v>
      </c>
      <c r="N19" s="335">
        <f>'výhled-aktiv '!Y38</f>
        <v>15954.77</v>
      </c>
      <c r="O19" s="335">
        <f>'výhled-aktiv '!Z38</f>
        <v>0</v>
      </c>
      <c r="P19" s="335">
        <f>'výhled-aktiv '!AA38</f>
        <v>0</v>
      </c>
      <c r="Q19" s="335">
        <f>'výhled-aktiv '!AB38</f>
        <v>0</v>
      </c>
      <c r="R19" s="335">
        <f>'výhled-aktiv '!AC38</f>
        <v>0</v>
      </c>
      <c r="S19" s="335">
        <f>'výhled-aktiv '!AD38</f>
        <v>0</v>
      </c>
      <c r="T19" s="335">
        <f>'výhled-aktiv '!AE38</f>
        <v>0</v>
      </c>
      <c r="U19" s="385">
        <f t="shared" si="0"/>
        <v>16709.490000000002</v>
      </c>
    </row>
    <row r="20" spans="1:21" s="308" customFormat="1" ht="18" customHeight="1" thickBot="1" x14ac:dyDescent="0.4">
      <c r="A20" s="313">
        <f>'výhled-aktiv '!A44</f>
        <v>42</v>
      </c>
      <c r="B20" s="327"/>
      <c r="C20" s="342"/>
      <c r="D20" s="343" t="str">
        <f>'výhled-aktiv '!C44</f>
        <v>Krátkodobý finanční majetek:</v>
      </c>
      <c r="E20" s="344">
        <f>'výhled-aktiv '!P44</f>
        <v>20688.119190000001</v>
      </c>
      <c r="F20" s="344">
        <f>'výhled-aktiv '!Q44</f>
        <v>26077.906429999999</v>
      </c>
      <c r="G20" s="344">
        <f>'výhled-aktiv '!R44</f>
        <v>28284.134289999998</v>
      </c>
      <c r="H20" s="344">
        <f>'výhled-aktiv '!S44</f>
        <v>49917.503960000002</v>
      </c>
      <c r="I20" s="344">
        <f>'výhled-aktiv '!T44</f>
        <v>29917.509959999999</v>
      </c>
      <c r="J20" s="344">
        <f>'výhled-aktiv '!U44</f>
        <v>14204.01964</v>
      </c>
      <c r="K20" s="344">
        <f>'výhled-aktiv '!V44</f>
        <v>13180.112949999999</v>
      </c>
      <c r="L20" s="344">
        <f>'výhled-aktiv '!W44</f>
        <v>20710.476649999997</v>
      </c>
      <c r="M20" s="344">
        <f>'výhled-aktiv '!X44</f>
        <v>12042.01359</v>
      </c>
      <c r="N20" s="344">
        <f>'výhled-aktiv '!Y44</f>
        <v>12134.72443</v>
      </c>
      <c r="O20" s="344">
        <f>'výhled-aktiv '!Z44</f>
        <v>8832.7244300000002</v>
      </c>
      <c r="P20" s="344">
        <f>'výhled-aktiv '!AA44</f>
        <v>18832.724430000002</v>
      </c>
      <c r="Q20" s="344">
        <f>'výhled-aktiv '!AB44</f>
        <v>33832.724430000002</v>
      </c>
      <c r="R20" s="344">
        <f>'výhled-aktiv '!AC44</f>
        <v>50832.724430000002</v>
      </c>
      <c r="S20" s="344">
        <f>'výhled-aktiv '!AD44</f>
        <v>68832.724430000002</v>
      </c>
      <c r="T20" s="344">
        <f>'výhled-aktiv '!AE44</f>
        <v>88832.724430000002</v>
      </c>
      <c r="U20" s="386">
        <f t="shared" si="0"/>
        <v>294173.0846</v>
      </c>
    </row>
    <row r="21" spans="1:21" s="308" customFormat="1" ht="36" customHeight="1" x14ac:dyDescent="0.35">
      <c r="A21" s="314">
        <f>'výhled-aktiv '!A45</f>
        <v>43</v>
      </c>
      <c r="B21" s="328"/>
      <c r="C21" s="345"/>
      <c r="D21" s="346" t="str">
        <f>'výhled-aktiv '!C45</f>
        <v>Zbývá z provozního salda po uhrazení splátek úvěrů*</v>
      </c>
      <c r="E21" s="347">
        <f>'výhled-aktiv '!P45</f>
        <v>6161.74</v>
      </c>
      <c r="F21" s="347">
        <f>'výhled-aktiv '!Q45</f>
        <v>7455.5499999999993</v>
      </c>
      <c r="G21" s="347">
        <f>'výhled-aktiv '!R45</f>
        <v>7377.9499999999989</v>
      </c>
      <c r="H21" s="347">
        <f>'výhled-aktiv '!S45</f>
        <v>11490.720000000001</v>
      </c>
      <c r="I21" s="347">
        <f>'výhled-aktiv '!T45</f>
        <v>7655.0400000000009</v>
      </c>
      <c r="J21" s="347">
        <f>'výhled-aktiv '!U45</f>
        <v>9777.7999999999993</v>
      </c>
      <c r="K21" s="347">
        <f>'výhled-aktiv '!V45</f>
        <v>6237.4800000000032</v>
      </c>
      <c r="L21" s="347">
        <f>'výhled-aktiv '!W45</f>
        <v>14686.039999999997</v>
      </c>
      <c r="M21" s="347">
        <f>'výhled-aktiv '!X45</f>
        <v>12500.670000000004</v>
      </c>
      <c r="N21" s="347">
        <f>'výhled-aktiv '!Y45</f>
        <v>-1811.6600000000035</v>
      </c>
      <c r="O21" s="347">
        <f>'výhled-aktiv '!Z45</f>
        <v>9273</v>
      </c>
      <c r="P21" s="347">
        <f>'výhled-aktiv '!AA45</f>
        <v>10000</v>
      </c>
      <c r="Q21" s="347">
        <f>'výhled-aktiv '!AB45</f>
        <v>15000</v>
      </c>
      <c r="R21" s="347">
        <f>'výhled-aktiv '!AC45</f>
        <v>17000</v>
      </c>
      <c r="S21" s="347">
        <f>'výhled-aktiv '!AD45</f>
        <v>18000</v>
      </c>
      <c r="T21" s="347">
        <f>'výhled-aktiv '!AE45</f>
        <v>20000</v>
      </c>
      <c r="U21" s="387">
        <f t="shared" si="0"/>
        <v>99962.010000000009</v>
      </c>
    </row>
    <row r="22" spans="1:21" s="308" customFormat="1" ht="45.65" customHeight="1" thickBot="1" x14ac:dyDescent="0.4">
      <c r="A22" s="315">
        <f>'výhled-aktiv '!A49</f>
        <v>47</v>
      </c>
      <c r="B22" s="352">
        <v>5</v>
      </c>
      <c r="C22" s="349" t="str">
        <f>'výhled-aktiv '!B49</f>
        <v>rozvaha D.II.1</v>
      </c>
      <c r="D22" s="350" t="s">
        <v>165</v>
      </c>
      <c r="E22" s="351">
        <f>'výhled-aktiv '!Q49</f>
        <v>0</v>
      </c>
      <c r="F22" s="351">
        <f>'výhled-aktiv '!R49</f>
        <v>0</v>
      </c>
      <c r="G22" s="351">
        <f>'výhled-aktiv '!S49</f>
        <v>0</v>
      </c>
      <c r="H22" s="351">
        <f>'výhled-aktiv '!T49</f>
        <v>0</v>
      </c>
      <c r="I22" s="351">
        <f>'výhled-aktiv '!U49</f>
        <v>0</v>
      </c>
      <c r="J22" s="351">
        <f>'výhled-aktiv '!V49</f>
        <v>0</v>
      </c>
      <c r="K22" s="351">
        <f>'výhled-aktiv '!W49</f>
        <v>0</v>
      </c>
      <c r="L22" s="351">
        <f>'výhled-aktiv '!X49</f>
        <v>15954.768970000001</v>
      </c>
      <c r="M22" s="351">
        <f>'výhled-aktiv '!Y49</f>
        <v>0</v>
      </c>
      <c r="N22" s="351">
        <f>'výhled-aktiv '!Z49</f>
        <v>0</v>
      </c>
      <c r="O22" s="351">
        <f>'výhled-aktiv '!Z49</f>
        <v>0</v>
      </c>
      <c r="P22" s="351">
        <f>'výhled-aktiv '!AA49</f>
        <v>0</v>
      </c>
      <c r="Q22" s="351">
        <f>'výhled-aktiv '!AB49</f>
        <v>0</v>
      </c>
      <c r="R22" s="351">
        <f>'výhled-aktiv '!AC49</f>
        <v>0</v>
      </c>
      <c r="S22" s="351">
        <f>'výhled-aktiv '!AD49</f>
        <v>0</v>
      </c>
      <c r="T22" s="351">
        <f>'výhled-aktiv '!AE49</f>
        <v>0</v>
      </c>
      <c r="U22" s="388"/>
    </row>
    <row r="23" spans="1:21" s="374" customFormat="1" ht="18.75" customHeight="1" thickBot="1" x14ac:dyDescent="0.4">
      <c r="A23" s="312"/>
      <c r="B23" s="391"/>
      <c r="C23" s="333" t="s">
        <v>41</v>
      </c>
      <c r="D23" s="334" t="s">
        <v>161</v>
      </c>
      <c r="E23" s="335">
        <f>'výhled-aktiv '!P49</f>
        <v>0</v>
      </c>
      <c r="F23" s="335">
        <f>'výhled-aktiv '!Q49</f>
        <v>0</v>
      </c>
      <c r="G23" s="335">
        <f>'výhled-aktiv '!R49</f>
        <v>0</v>
      </c>
      <c r="H23" s="335">
        <f>'výhled-aktiv '!S49</f>
        <v>0</v>
      </c>
      <c r="I23" s="335">
        <f>'výhled-aktiv '!T49</f>
        <v>0</v>
      </c>
      <c r="J23" s="335">
        <f>'výhled-aktiv '!U49</f>
        <v>0</v>
      </c>
      <c r="K23" s="335">
        <f>'výhled-aktiv '!V49</f>
        <v>0</v>
      </c>
      <c r="L23" s="335">
        <f>'výhled-aktiv '!W49</f>
        <v>0</v>
      </c>
      <c r="M23" s="335">
        <f>'výhled-aktiv '!X49</f>
        <v>15954.768970000001</v>
      </c>
      <c r="N23" s="335">
        <f>'výhled-aktiv '!Y49</f>
        <v>0</v>
      </c>
      <c r="O23" s="335">
        <f>'výhled-aktiv '!Z49</f>
        <v>0</v>
      </c>
      <c r="P23" s="335">
        <f>'výhled-aktiv '!AA49</f>
        <v>0</v>
      </c>
      <c r="Q23" s="335">
        <f>'výhled-aktiv '!AB49</f>
        <v>0</v>
      </c>
      <c r="R23" s="335">
        <f>'výhled-aktiv '!AC49</f>
        <v>0</v>
      </c>
      <c r="S23" s="335">
        <f>'výhled-aktiv '!AD49</f>
        <v>0</v>
      </c>
      <c r="T23" s="335">
        <f>'výhled-aktiv '!AE49</f>
        <v>0</v>
      </c>
      <c r="U23" s="389"/>
    </row>
    <row r="24" spans="1:21" s="307" customFormat="1" ht="18.75" customHeight="1" thickBot="1" x14ac:dyDescent="0.4">
      <c r="A24" s="375"/>
      <c r="B24" s="391"/>
      <c r="C24" s="333"/>
      <c r="D24" s="334" t="str">
        <f>'provozni saldo'!B8</f>
        <v>Zbývá po uhrazení splátek úvěrů (tis. Kč)</v>
      </c>
      <c r="E24" s="335">
        <f>'provozni saldo'!K8</f>
        <v>14484.88</v>
      </c>
      <c r="F24" s="335">
        <f>'provozni saldo'!M8</f>
        <v>7455.5499999999993</v>
      </c>
      <c r="G24" s="335">
        <f>'provozni saldo'!N8</f>
        <v>7377.9499999999989</v>
      </c>
      <c r="H24" s="335">
        <f>'provozni saldo'!O8</f>
        <v>11490.720000000001</v>
      </c>
      <c r="I24" s="335">
        <f>'provozni saldo'!P8</f>
        <v>7655.0400000000009</v>
      </c>
      <c r="J24" s="335">
        <f>'provozni saldo'!Q8</f>
        <v>9777.7999999999993</v>
      </c>
      <c r="K24" s="335">
        <f>'provozni saldo'!R8</f>
        <v>6237.4800000000032</v>
      </c>
      <c r="L24" s="335">
        <f>'provozni saldo'!S8</f>
        <v>14686.039999999997</v>
      </c>
      <c r="M24" s="335">
        <f>'provozni saldo'!T8</f>
        <v>12500.670000000004</v>
      </c>
      <c r="N24" s="335">
        <f>'provozni saldo'!U8</f>
        <v>-1811.6600000000035</v>
      </c>
      <c r="O24" s="335">
        <f>'provozni saldo'!W8</f>
        <v>10000</v>
      </c>
      <c r="P24" s="335">
        <f>'provozni saldo'!X8</f>
        <v>15000</v>
      </c>
      <c r="Q24" s="335">
        <f>'provozni saldo'!Y8</f>
        <v>17000</v>
      </c>
      <c r="R24" s="335">
        <f>'provozni saldo'!Z8</f>
        <v>18000</v>
      </c>
      <c r="S24" s="335">
        <f>'provozni saldo'!AA8</f>
        <v>20000</v>
      </c>
      <c r="T24" s="335">
        <f>'provozni saldo'!AB8</f>
        <v>80000</v>
      </c>
      <c r="U24" s="384">
        <f>SUM(M24:T24)</f>
        <v>170689.01</v>
      </c>
    </row>
    <row r="25" spans="1:21" s="308" customFormat="1" ht="52.5" customHeight="1" thickBot="1" x14ac:dyDescent="0.4">
      <c r="A25" s="306">
        <f>'výhled-aktiv '!A50</f>
        <v>48</v>
      </c>
      <c r="B25" s="352">
        <v>6</v>
      </c>
      <c r="C25" s="349" t="str">
        <f>'výhled-aktiv '!B50</f>
        <v>rozvaha A.IV</v>
      </c>
      <c r="D25" s="350" t="str">
        <f>'výhled-aktiv '!C50</f>
        <v>Dlouhodobé pohledávky (účet 462 až 471)</v>
      </c>
      <c r="E25" s="351">
        <f>'výhled-aktiv '!P50</f>
        <v>5.0999999999999996</v>
      </c>
      <c r="F25" s="351">
        <f>'výhled-aktiv '!Q50</f>
        <v>5.0999999999999996</v>
      </c>
      <c r="G25" s="351">
        <f>'výhled-aktiv '!R50</f>
        <v>5.0999999999999996</v>
      </c>
      <c r="H25" s="351">
        <f>'výhled-aktiv '!S50</f>
        <v>5.0999999999999996</v>
      </c>
      <c r="I25" s="351">
        <f>'výhled-aktiv '!T50</f>
        <v>5.0999999999999996</v>
      </c>
      <c r="J25" s="351">
        <f>'výhled-aktiv '!U50</f>
        <v>5.0999999999999996</v>
      </c>
      <c r="K25" s="351">
        <f>'výhled-aktiv '!V50</f>
        <v>5.0999999999999996</v>
      </c>
      <c r="L25" s="351">
        <f>'výhled-aktiv '!W50</f>
        <v>5.0999999999999996</v>
      </c>
      <c r="M25" s="351">
        <f>'výhled-aktiv '!X50</f>
        <v>5.0999999999999996</v>
      </c>
      <c r="N25" s="351">
        <f>'výhled-aktiv '!Y50</f>
        <v>5.0999999999999996</v>
      </c>
      <c r="O25" s="351">
        <f>'výhled-aktiv '!Z50</f>
        <v>5.0999999999999996</v>
      </c>
      <c r="P25" s="351">
        <f>'výhled-aktiv '!AA50</f>
        <v>5.0999999999999996</v>
      </c>
      <c r="Q25" s="351">
        <f>'výhled-aktiv '!AB50</f>
        <v>5.0999999999999996</v>
      </c>
      <c r="R25" s="351">
        <f>'výhled-aktiv '!AC50</f>
        <v>5.0999999999999996</v>
      </c>
      <c r="S25" s="351">
        <f>'výhled-aktiv '!AD50</f>
        <v>5.0999999999999996</v>
      </c>
      <c r="T25" s="351">
        <f>'výhled-aktiv '!AE50</f>
        <v>5.0999999999999996</v>
      </c>
      <c r="U25" s="388"/>
    </row>
    <row r="26" spans="1:21" s="308" customFormat="1" ht="78.75" customHeight="1" thickBot="1" x14ac:dyDescent="0.4">
      <c r="A26" s="312">
        <f>'výhled-aktiv '!A53</f>
        <v>51</v>
      </c>
      <c r="B26" s="348">
        <v>7</v>
      </c>
      <c r="C26" s="392" t="s">
        <v>163</v>
      </c>
      <c r="D26" s="350" t="s">
        <v>169</v>
      </c>
      <c r="E26" s="351"/>
      <c r="F26" s="351"/>
      <c r="G26" s="351"/>
      <c r="H26" s="351"/>
      <c r="I26" s="351"/>
      <c r="J26" s="351"/>
      <c r="K26" s="351"/>
      <c r="L26" s="351"/>
      <c r="M26" s="351"/>
      <c r="N26" s="351"/>
      <c r="O26" s="351"/>
      <c r="P26" s="351">
        <f>KUMULOVANY!U25</f>
        <v>2000</v>
      </c>
      <c r="Q26" s="351">
        <f>KUMULOVANY!V25</f>
        <v>7000</v>
      </c>
      <c r="R26" s="351">
        <f>KUMULOVANY!W25</f>
        <v>9000</v>
      </c>
      <c r="S26" s="351">
        <f>KUMULOVANY!X25</f>
        <v>10000</v>
      </c>
      <c r="T26" s="351">
        <f>KUMULOVANY!Y25</f>
        <v>12000</v>
      </c>
      <c r="U26" s="378">
        <f>ROUND(SUM(M26:T26),-3)</f>
        <v>40000</v>
      </c>
    </row>
    <row r="27" spans="1:21" ht="20.25" customHeight="1" thickBot="1" x14ac:dyDescent="0.4">
      <c r="B27" s="352">
        <v>9</v>
      </c>
      <c r="C27" s="393"/>
      <c r="D27" s="394" t="s">
        <v>166</v>
      </c>
      <c r="E27" s="395"/>
      <c r="F27" s="395"/>
      <c r="G27" s="395"/>
      <c r="H27" s="395"/>
      <c r="I27" s="395"/>
      <c r="J27" s="395"/>
      <c r="K27" s="395"/>
      <c r="L27" s="395"/>
      <c r="M27" s="395"/>
      <c r="N27" s="395"/>
      <c r="O27" s="395"/>
      <c r="P27" s="395"/>
      <c r="Q27" s="395"/>
      <c r="R27" s="395"/>
      <c r="S27" s="395"/>
      <c r="T27" s="395"/>
      <c r="U27" s="390" t="e">
        <f>U26+#REF!</f>
        <v>#REF!</v>
      </c>
    </row>
    <row r="28" spans="1:21" ht="20.25" customHeight="1" thickBot="1" x14ac:dyDescent="0.4">
      <c r="B28" s="396">
        <v>8</v>
      </c>
      <c r="C28" s="397"/>
      <c r="D28" s="398" t="s">
        <v>278</v>
      </c>
      <c r="E28" s="356"/>
      <c r="F28" s="356"/>
      <c r="G28" s="356"/>
      <c r="H28" s="356"/>
      <c r="I28" s="356"/>
      <c r="J28" s="356"/>
      <c r="K28" s="356"/>
      <c r="L28" s="356"/>
      <c r="M28" s="356"/>
      <c r="N28" s="399"/>
      <c r="O28" s="399">
        <f>'výhled-aktiv '!Z44</f>
        <v>8832.7244300000002</v>
      </c>
      <c r="P28" s="399"/>
      <c r="Q28" s="400"/>
      <c r="R28" s="400"/>
      <c r="S28" s="400"/>
      <c r="T28" s="401"/>
      <c r="U28" s="377"/>
    </row>
    <row r="29" spans="1:21" ht="18" x14ac:dyDescent="0.4">
      <c r="B29" s="299"/>
      <c r="D29" s="323" t="s">
        <v>170</v>
      </c>
      <c r="E29" s="299"/>
      <c r="F29" s="299"/>
      <c r="G29" s="299"/>
      <c r="H29" s="299"/>
      <c r="I29" s="299"/>
      <c r="J29" s="299"/>
      <c r="K29" s="299"/>
      <c r="L29" s="299"/>
      <c r="M29" s="299"/>
      <c r="N29" s="299"/>
      <c r="O29" s="299"/>
      <c r="P29" s="299"/>
      <c r="Q29" s="299"/>
      <c r="R29" s="299"/>
      <c r="S29" s="299"/>
      <c r="T29" s="299"/>
      <c r="U29" s="329"/>
    </row>
    <row r="30" spans="1:21" ht="15.5" x14ac:dyDescent="0.35">
      <c r="C30" s="11"/>
      <c r="D30" s="428" t="s">
        <v>157</v>
      </c>
      <c r="E30" s="299"/>
      <c r="F30" s="299"/>
      <c r="G30" s="299"/>
      <c r="H30" s="299"/>
      <c r="I30" s="299"/>
      <c r="J30" s="299"/>
      <c r="K30" s="299"/>
      <c r="L30" s="299"/>
      <c r="M30" s="299"/>
      <c r="N30" s="299"/>
      <c r="O30" s="299"/>
      <c r="P30" s="299"/>
      <c r="Q30" s="299"/>
      <c r="R30" s="299"/>
      <c r="S30" s="299"/>
      <c r="T30" s="299"/>
      <c r="U30" s="364" t="s">
        <v>173</v>
      </c>
    </row>
    <row r="39" spans="3:23" x14ac:dyDescent="0.3">
      <c r="E39" s="320"/>
    </row>
    <row r="48" spans="3:23" x14ac:dyDescent="0.3">
      <c r="C48" s="316"/>
      <c r="D48" s="316"/>
      <c r="U48" s="321"/>
      <c r="V48" s="322"/>
      <c r="W48" s="322"/>
    </row>
  </sheetData>
  <conditionalFormatting sqref="E26:T26">
    <cfRule type="cellIs" dxfId="20" priority="22" stopIfTrue="1" operator="lessThan">
      <formula>0</formula>
    </cfRule>
  </conditionalFormatting>
  <conditionalFormatting sqref="E14:U14 E17:U17 E21:U21">
    <cfRule type="cellIs" dxfId="19" priority="15" operator="lessThan">
      <formula>0</formula>
    </cfRule>
    <cfRule type="cellIs" dxfId="18" priority="16" stopIfTrue="1" operator="lessThan">
      <formula>0</formula>
    </cfRule>
  </conditionalFormatting>
  <conditionalFormatting sqref="E24:U24">
    <cfRule type="cellIs" dxfId="17" priority="11" operator="lessThan">
      <formula>0</formula>
    </cfRule>
  </conditionalFormatting>
  <conditionalFormatting sqref="E26:U26">
    <cfRule type="cellIs" dxfId="16" priority="13" operator="lessThan">
      <formula>0</formula>
    </cfRule>
  </conditionalFormatting>
  <conditionalFormatting sqref="N28:P28">
    <cfRule type="cellIs" dxfId="15" priority="1" operator="lessThan">
      <formula>0</formula>
    </cfRule>
    <cfRule type="cellIs" dxfId="14" priority="2" stopIfTrue="1" operator="lessThan">
      <formula>0</formula>
    </cfRule>
  </conditionalFormatting>
  <conditionalFormatting sqref="U24">
    <cfRule type="cellIs" dxfId="13" priority="12" stopIfTrue="1" operator="lessThan">
      <formula>0</formula>
    </cfRule>
  </conditionalFormatting>
  <conditionalFormatting sqref="U27:U28">
    <cfRule type="cellIs" dxfId="12" priority="9" operator="lessThan">
      <formula>0</formula>
    </cfRule>
  </conditionalFormatting>
  <hyperlinks>
    <hyperlink ref="U30" r:id="rId1" xr:uid="{00000000-0004-0000-0200-000000000000}"/>
  </hyperlinks>
  <pageMargins left="0.39370078740157483" right="0.39370078740157483" top="0.35433070866141736" bottom="0.39370078740157483" header="0.15748031496062992" footer="0.31496062992125984"/>
  <pageSetup paperSize="9" scale="66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65"/>
  <sheetViews>
    <sheetView showGridLines="0" topLeftCell="A65" zoomScale="55" zoomScaleNormal="55" zoomScaleSheetLayoutView="85" workbookViewId="0">
      <selection sqref="A1:XFD1048576"/>
    </sheetView>
  </sheetViews>
  <sheetFormatPr defaultColWidth="7.81640625" defaultRowHeight="12.5" x14ac:dyDescent="0.25"/>
  <cols>
    <col min="1" max="1" width="7.81640625" style="8"/>
    <col min="2" max="2" width="44.1796875" style="84" customWidth="1"/>
    <col min="3" max="19" width="11.54296875" style="205" customWidth="1"/>
    <col min="20" max="26" width="9.54296875" style="205" customWidth="1"/>
    <col min="27" max="27" width="9.54296875" style="222" customWidth="1"/>
    <col min="28" max="28" width="11.54296875" style="207" customWidth="1"/>
    <col min="29" max="31" width="11.54296875" style="7" customWidth="1"/>
    <col min="32" max="32" width="11.54296875" style="90" customWidth="1"/>
    <col min="33" max="44" width="11.54296875" style="7" customWidth="1"/>
    <col min="45" max="16384" width="7.81640625" style="7"/>
  </cols>
  <sheetData>
    <row r="1" spans="1:32" ht="13.5" thickBot="1" x14ac:dyDescent="0.35">
      <c r="J1" s="206"/>
      <c r="O1" s="250"/>
      <c r="R1" s="284"/>
      <c r="AA1" s="206"/>
      <c r="AB1" s="208" t="s">
        <v>46</v>
      </c>
      <c r="AF1" s="7"/>
    </row>
    <row r="2" spans="1:32" s="1" customFormat="1" ht="38.15" customHeight="1" thickBot="1" x14ac:dyDescent="0.4">
      <c r="A2" s="203" t="s">
        <v>47</v>
      </c>
      <c r="B2" s="204"/>
      <c r="C2" s="209">
        <f>'výhled-aktiv '!G2</f>
        <v>2007</v>
      </c>
      <c r="D2" s="209">
        <f>'výhled-aktiv '!H2</f>
        <v>2008</v>
      </c>
      <c r="E2" s="209">
        <f>'výhled-aktiv '!I2</f>
        <v>2009</v>
      </c>
      <c r="F2" s="209">
        <f>'výhled-aktiv '!J2</f>
        <v>2010</v>
      </c>
      <c r="G2" s="209">
        <f>'výhled-aktiv '!K2</f>
        <v>2011</v>
      </c>
      <c r="H2" s="209">
        <f>'výhled-aktiv '!L2</f>
        <v>2012</v>
      </c>
      <c r="I2" s="209">
        <f>'výhled-aktiv '!M2</f>
        <v>2013</v>
      </c>
      <c r="J2" s="209">
        <f>'výhled-aktiv '!N2</f>
        <v>2014</v>
      </c>
      <c r="K2" s="209">
        <f>'výhled-aktiv '!O2</f>
        <v>2015</v>
      </c>
      <c r="L2" s="209">
        <f>'výhled-aktiv '!P2</f>
        <v>2016</v>
      </c>
      <c r="M2" s="209">
        <f>'výhled-aktiv '!Q2</f>
        <v>2017</v>
      </c>
      <c r="N2" s="209">
        <f>'výhled-aktiv '!R2</f>
        <v>2018</v>
      </c>
      <c r="O2" s="209">
        <f>'výhled-aktiv '!S2</f>
        <v>2019</v>
      </c>
      <c r="P2" s="209">
        <f>'výhled-aktiv '!T2</f>
        <v>2020</v>
      </c>
      <c r="Q2" s="209">
        <f>'výhled-aktiv '!U2</f>
        <v>2021</v>
      </c>
      <c r="R2" s="209">
        <f>'výhled-aktiv '!V2</f>
        <v>2022</v>
      </c>
      <c r="S2" s="209">
        <f>'výhled-aktiv '!W2</f>
        <v>2023</v>
      </c>
      <c r="T2" s="209">
        <f>'výhled-aktiv '!X2</f>
        <v>2024</v>
      </c>
      <c r="U2" s="209">
        <f>'výhled-aktiv '!Y2</f>
        <v>2025</v>
      </c>
      <c r="V2" s="209" t="str">
        <f>'výhled-aktiv '!Z2</f>
        <v>2026 rozpočet duben</v>
      </c>
      <c r="W2" s="430" t="str">
        <f>'výhled-aktiv '!AA2</f>
        <v>2027 výhled</v>
      </c>
      <c r="X2" s="430" t="str">
        <f>'výhled-aktiv '!AB2</f>
        <v>2028 výhled</v>
      </c>
      <c r="Y2" s="430" t="str">
        <f>'výhled-aktiv '!AC2</f>
        <v>2029 výhled</v>
      </c>
      <c r="Z2" s="430" t="str">
        <f>'výhled-aktiv '!AD2</f>
        <v>2030 výhled</v>
      </c>
      <c r="AA2" s="430" t="str">
        <f>'výhled-aktiv '!AE2</f>
        <v>2031 výhled</v>
      </c>
      <c r="AB2" s="210" t="str">
        <f>'výhled-aktiv '!AG29</f>
        <v>Suma 2027 až 2031</v>
      </c>
    </row>
    <row r="3" spans="1:32" s="5" customFormat="1" ht="13" x14ac:dyDescent="0.35">
      <c r="A3" s="93" t="s">
        <v>32</v>
      </c>
      <c r="B3" s="94" t="s">
        <v>33</v>
      </c>
      <c r="C3" s="126">
        <f>'výhled-aktiv '!G34</f>
        <v>11149.93</v>
      </c>
      <c r="D3" s="126">
        <f>'výhled-aktiv '!H34</f>
        <v>10978.91</v>
      </c>
      <c r="E3" s="126">
        <f>'výhled-aktiv '!I34</f>
        <v>13216.25</v>
      </c>
      <c r="F3" s="126">
        <f>'výhled-aktiv '!J34</f>
        <v>11365.769999999999</v>
      </c>
      <c r="G3" s="126">
        <f>'výhled-aktiv '!K34</f>
        <v>11601.599999999999</v>
      </c>
      <c r="H3" s="126">
        <f>'výhled-aktiv '!L34</f>
        <v>12907.099999999999</v>
      </c>
      <c r="I3" s="126">
        <f>'výhled-aktiv '!M34</f>
        <v>14738.330000000002</v>
      </c>
      <c r="J3" s="126">
        <f>'výhled-aktiv '!N34</f>
        <v>15650.09</v>
      </c>
      <c r="K3" s="126">
        <f>'výhled-aktiv '!O34</f>
        <v>16125.689999999999</v>
      </c>
      <c r="L3" s="126">
        <f>'výhled-aktiv '!P34</f>
        <v>16539.57</v>
      </c>
      <c r="M3" s="126">
        <f>'výhled-aktiv '!Q34</f>
        <v>18272.14</v>
      </c>
      <c r="N3" s="126">
        <f>'výhled-aktiv '!R34</f>
        <v>22935.85</v>
      </c>
      <c r="O3" s="126">
        <f>'výhled-aktiv '!S34</f>
        <v>25208.43</v>
      </c>
      <c r="P3" s="126">
        <f>'výhled-aktiv '!T34</f>
        <v>24275</v>
      </c>
      <c r="Q3" s="126">
        <f>'výhled-aktiv '!U34</f>
        <v>26957.3</v>
      </c>
      <c r="R3" s="126">
        <f>'výhled-aktiv '!V34</f>
        <v>31966.74</v>
      </c>
      <c r="S3" s="126">
        <f>'výhled-aktiv '!W34</f>
        <v>37950.559999999998</v>
      </c>
      <c r="T3" s="126">
        <f>'výhled-aktiv '!X34</f>
        <v>38128.26</v>
      </c>
      <c r="U3" s="126">
        <f>'výhled-aktiv '!Y34</f>
        <v>39173.81</v>
      </c>
      <c r="V3" s="126">
        <f>'výhled-aktiv '!Z34</f>
        <v>47399</v>
      </c>
      <c r="W3" s="126">
        <f>'výhled-aktiv '!AA34</f>
        <v>49670</v>
      </c>
      <c r="X3" s="126">
        <f>'výhled-aktiv '!AB34</f>
        <v>52520</v>
      </c>
      <c r="Y3" s="126">
        <f>'výhled-aktiv '!AC34</f>
        <v>55720</v>
      </c>
      <c r="Z3" s="126">
        <f>'výhled-aktiv '!AD34</f>
        <v>58870</v>
      </c>
      <c r="AA3" s="126">
        <f>'výhled-aktiv '!AE34</f>
        <v>62220</v>
      </c>
      <c r="AB3" s="211">
        <f>SUM(W3:AA3)</f>
        <v>279000</v>
      </c>
    </row>
    <row r="4" spans="1:32" s="5" customFormat="1" ht="13.5" thickBot="1" x14ac:dyDescent="0.4">
      <c r="A4" s="95">
        <v>5</v>
      </c>
      <c r="B4" s="86" t="s">
        <v>34</v>
      </c>
      <c r="C4" s="128">
        <f>'výhled-aktiv '!G35</f>
        <v>8576.56</v>
      </c>
      <c r="D4" s="128">
        <f>'výhled-aktiv '!H35</f>
        <v>7852.32</v>
      </c>
      <c r="E4" s="128">
        <f>'výhled-aktiv '!I35</f>
        <v>13234.47</v>
      </c>
      <c r="F4" s="128">
        <f>'výhled-aktiv '!J35</f>
        <v>9478.51</v>
      </c>
      <c r="G4" s="128">
        <f>'výhled-aktiv '!K35</f>
        <v>9311.67</v>
      </c>
      <c r="H4" s="128">
        <f>'výhled-aktiv '!L35</f>
        <v>9930.4</v>
      </c>
      <c r="I4" s="128">
        <f>'výhled-aktiv '!M35</f>
        <v>9606.49</v>
      </c>
      <c r="J4" s="128">
        <f>'výhled-aktiv '!N35</f>
        <v>6352.79</v>
      </c>
      <c r="K4" s="128">
        <f>'výhled-aktiv '!O35</f>
        <v>1640.81</v>
      </c>
      <c r="L4" s="128">
        <f>'výhled-aktiv '!P35</f>
        <v>10377.83</v>
      </c>
      <c r="M4" s="128">
        <f>'výhled-aktiv '!Q35</f>
        <v>10816.59</v>
      </c>
      <c r="N4" s="128">
        <f>'výhled-aktiv '!R35</f>
        <v>15557.9</v>
      </c>
      <c r="O4" s="128">
        <f>'výhled-aktiv '!S35</f>
        <v>13717.71</v>
      </c>
      <c r="P4" s="128">
        <f>'výhled-aktiv '!T35</f>
        <v>16619.96</v>
      </c>
      <c r="Q4" s="128">
        <f>'výhled-aktiv '!U35</f>
        <v>17179.5</v>
      </c>
      <c r="R4" s="128">
        <f>'výhled-aktiv '!V35</f>
        <v>25729.26</v>
      </c>
      <c r="S4" s="128">
        <f>'výhled-aktiv '!W35</f>
        <v>23264.52</v>
      </c>
      <c r="T4" s="128">
        <f>'výhled-aktiv '!X35</f>
        <v>24872.87</v>
      </c>
      <c r="U4" s="128">
        <f>'výhled-aktiv '!Y35</f>
        <v>25030.7</v>
      </c>
      <c r="V4" s="128">
        <f>'výhled-aktiv '!Z35</f>
        <v>38126</v>
      </c>
      <c r="W4" s="128">
        <f>'výhled-aktiv '!AA35</f>
        <v>39670</v>
      </c>
      <c r="X4" s="128">
        <f>'výhled-aktiv '!AB35</f>
        <v>37520</v>
      </c>
      <c r="Y4" s="128">
        <f>'výhled-aktiv '!AC35</f>
        <v>38720</v>
      </c>
      <c r="Z4" s="128">
        <f>'výhled-aktiv '!AD35</f>
        <v>40870</v>
      </c>
      <c r="AA4" s="128">
        <f>'výhled-aktiv '!AE35</f>
        <v>42220</v>
      </c>
      <c r="AB4" s="211">
        <f>SUM(W4:AA4)</f>
        <v>199000</v>
      </c>
      <c r="AC4" s="59"/>
    </row>
    <row r="5" spans="1:32" s="5" customFormat="1" ht="13.5" thickBot="1" x14ac:dyDescent="0.4">
      <c r="A5" s="201" t="s">
        <v>101</v>
      </c>
      <c r="B5" s="202" t="s">
        <v>50</v>
      </c>
      <c r="C5" s="106">
        <f>C3-C4</f>
        <v>2573.3700000000008</v>
      </c>
      <c r="D5" s="106">
        <f>D3-D4</f>
        <v>3126.59</v>
      </c>
      <c r="E5" s="106">
        <f>E3-E4</f>
        <v>-18.219999999999345</v>
      </c>
      <c r="F5" s="106">
        <f>F3-F4</f>
        <v>1887.2599999999984</v>
      </c>
      <c r="G5" s="106">
        <f t="shared" ref="G5:T5" si="0">G3-G4</f>
        <v>2289.9299999999985</v>
      </c>
      <c r="H5" s="106">
        <f t="shared" si="0"/>
        <v>2976.6999999999989</v>
      </c>
      <c r="I5" s="106">
        <f t="shared" si="0"/>
        <v>5131.840000000002</v>
      </c>
      <c r="J5" s="106">
        <f t="shared" si="0"/>
        <v>9297.2999999999993</v>
      </c>
      <c r="K5" s="106">
        <f t="shared" si="0"/>
        <v>14484.88</v>
      </c>
      <c r="L5" s="106">
        <f t="shared" si="0"/>
        <v>6161.74</v>
      </c>
      <c r="M5" s="106">
        <f t="shared" si="0"/>
        <v>7455.5499999999993</v>
      </c>
      <c r="N5" s="106">
        <f t="shared" si="0"/>
        <v>7377.9499999999989</v>
      </c>
      <c r="O5" s="106">
        <f t="shared" si="0"/>
        <v>11490.720000000001</v>
      </c>
      <c r="P5" s="106">
        <f t="shared" si="0"/>
        <v>7655.0400000000009</v>
      </c>
      <c r="Q5" s="106">
        <f t="shared" si="0"/>
        <v>9777.7999999999993</v>
      </c>
      <c r="R5" s="106">
        <f t="shared" si="0"/>
        <v>6237.4800000000032</v>
      </c>
      <c r="S5" s="106">
        <f t="shared" si="0"/>
        <v>14686.039999999997</v>
      </c>
      <c r="T5" s="106">
        <f t="shared" si="0"/>
        <v>13255.390000000003</v>
      </c>
      <c r="U5" s="106">
        <f t="shared" ref="U5:AA5" si="1">U3-U4</f>
        <v>14143.109999999997</v>
      </c>
      <c r="V5" s="106">
        <f t="shared" si="1"/>
        <v>9273</v>
      </c>
      <c r="W5" s="106">
        <f t="shared" si="1"/>
        <v>10000</v>
      </c>
      <c r="X5" s="106">
        <f t="shared" si="1"/>
        <v>15000</v>
      </c>
      <c r="Y5" s="106">
        <f t="shared" si="1"/>
        <v>17000</v>
      </c>
      <c r="Z5" s="106">
        <f t="shared" si="1"/>
        <v>18000</v>
      </c>
      <c r="AA5" s="106">
        <f t="shared" si="1"/>
        <v>20000</v>
      </c>
      <c r="AB5" s="212">
        <f>SUM(W5:AA5)</f>
        <v>80000</v>
      </c>
    </row>
    <row r="6" spans="1:32" s="88" customFormat="1" ht="13" x14ac:dyDescent="0.3">
      <c r="A6" s="96"/>
      <c r="B6" s="97" t="s">
        <v>51</v>
      </c>
      <c r="C6" s="213">
        <f>C5/C3</f>
        <v>0.23079696464462116</v>
      </c>
      <c r="D6" s="213">
        <f>D5/D3</f>
        <v>0.28478145826862594</v>
      </c>
      <c r="E6" s="213">
        <f>E5/E3</f>
        <v>-1.3786058829092476E-3</v>
      </c>
      <c r="F6" s="213">
        <f>F5/F3</f>
        <v>0.1660477028833065</v>
      </c>
      <c r="G6" s="213">
        <f t="shared" ref="G6:T6" si="2">G5/G3</f>
        <v>0.19738053371948686</v>
      </c>
      <c r="H6" s="213">
        <f t="shared" si="2"/>
        <v>0.23062500484229603</v>
      </c>
      <c r="I6" s="213">
        <f t="shared" si="2"/>
        <v>0.34819684455430172</v>
      </c>
      <c r="J6" s="213">
        <f t="shared" si="2"/>
        <v>0.59407326092054413</v>
      </c>
      <c r="K6" s="213">
        <f t="shared" si="2"/>
        <v>0.89824869509459748</v>
      </c>
      <c r="L6" s="213">
        <f t="shared" si="2"/>
        <v>0.37254535637867248</v>
      </c>
      <c r="M6" s="213">
        <f t="shared" si="2"/>
        <v>0.40802828787432666</v>
      </c>
      <c r="N6" s="213">
        <f t="shared" si="2"/>
        <v>0.32167763566643481</v>
      </c>
      <c r="O6" s="213">
        <f t="shared" si="2"/>
        <v>0.45582846690571371</v>
      </c>
      <c r="P6" s="213">
        <f t="shared" si="2"/>
        <v>0.31534665293511849</v>
      </c>
      <c r="Q6" s="213">
        <f t="shared" si="2"/>
        <v>0.36271436679489411</v>
      </c>
      <c r="R6" s="213">
        <f t="shared" si="2"/>
        <v>0.19512405706681391</v>
      </c>
      <c r="S6" s="213">
        <f t="shared" si="2"/>
        <v>0.38697821586822428</v>
      </c>
      <c r="T6" s="213">
        <f t="shared" si="2"/>
        <v>0.34765263350596126</v>
      </c>
      <c r="U6" s="213">
        <f t="shared" ref="U6:AA6" si="3">U5/U3</f>
        <v>0.36103483424257171</v>
      </c>
      <c r="V6" s="213">
        <f t="shared" si="3"/>
        <v>0.1956370387560919</v>
      </c>
      <c r="W6" s="213">
        <f t="shared" si="3"/>
        <v>0.20132876988121604</v>
      </c>
      <c r="X6" s="213">
        <f t="shared" si="3"/>
        <v>0.28560548362528559</v>
      </c>
      <c r="Y6" s="213">
        <f t="shared" si="3"/>
        <v>0.30509691313711412</v>
      </c>
      <c r="Z6" s="213">
        <f t="shared" si="3"/>
        <v>0.30575845082384917</v>
      </c>
      <c r="AA6" s="213">
        <f t="shared" si="3"/>
        <v>0.32144005143040821</v>
      </c>
      <c r="AB6" s="211"/>
    </row>
    <row r="7" spans="1:32" s="5" customFormat="1" ht="13" x14ac:dyDescent="0.35">
      <c r="A7" s="80" t="s">
        <v>102</v>
      </c>
      <c r="B7" s="85" t="s">
        <v>61</v>
      </c>
      <c r="C7" s="4">
        <f>'výhled-aktiv '!G38</f>
        <v>0</v>
      </c>
      <c r="D7" s="4">
        <f>'výhled-aktiv '!H38</f>
        <v>0</v>
      </c>
      <c r="E7" s="4">
        <f>'výhled-aktiv '!I38</f>
        <v>0</v>
      </c>
      <c r="F7" s="4">
        <f>'výhled-aktiv '!J38</f>
        <v>0</v>
      </c>
      <c r="G7" s="4">
        <f>'výhled-aktiv '!K38</f>
        <v>0</v>
      </c>
      <c r="H7" s="4">
        <f>'výhled-aktiv '!L38</f>
        <v>0</v>
      </c>
      <c r="I7" s="4">
        <f>'výhled-aktiv '!M38</f>
        <v>0</v>
      </c>
      <c r="J7" s="4">
        <f>'výhled-aktiv '!N38</f>
        <v>0</v>
      </c>
      <c r="K7" s="4">
        <f>'výhled-aktiv '!O38</f>
        <v>0</v>
      </c>
      <c r="L7" s="4">
        <f>'výhled-aktiv '!P38</f>
        <v>0</v>
      </c>
      <c r="M7" s="4">
        <f>'výhled-aktiv '!Q38</f>
        <v>0</v>
      </c>
      <c r="N7" s="4">
        <f>'výhled-aktiv '!R38</f>
        <v>0</v>
      </c>
      <c r="O7" s="4">
        <f>'výhled-aktiv '!S38</f>
        <v>0</v>
      </c>
      <c r="P7" s="4">
        <f>'výhled-aktiv '!T38</f>
        <v>0</v>
      </c>
      <c r="Q7" s="4">
        <f>'výhled-aktiv '!U38</f>
        <v>0</v>
      </c>
      <c r="R7" s="4">
        <f>'výhled-aktiv '!V38</f>
        <v>0</v>
      </c>
      <c r="S7" s="4">
        <f>'výhled-aktiv '!W38</f>
        <v>0</v>
      </c>
      <c r="T7" s="4">
        <f>'výhled-aktiv '!X38</f>
        <v>754.72</v>
      </c>
      <c r="U7" s="4">
        <f>'výhled-aktiv '!Y38</f>
        <v>15954.77</v>
      </c>
      <c r="V7" s="4">
        <f>'výhled-aktiv '!Z38</f>
        <v>0</v>
      </c>
      <c r="W7" s="4">
        <f>'výhled-aktiv '!AA38</f>
        <v>0</v>
      </c>
      <c r="X7" s="4">
        <f>'výhled-aktiv '!AB38</f>
        <v>0</v>
      </c>
      <c r="Y7" s="4">
        <f>'výhled-aktiv '!AC38</f>
        <v>0</v>
      </c>
      <c r="Z7" s="4">
        <f>'výhled-aktiv '!AD38</f>
        <v>0</v>
      </c>
      <c r="AA7" s="4">
        <f>'výhled-aktiv '!AE38</f>
        <v>0</v>
      </c>
      <c r="AB7" s="211">
        <f>SUM(W7:AA7)</f>
        <v>0</v>
      </c>
      <c r="AF7" s="89"/>
    </row>
    <row r="8" spans="1:32" s="5" customFormat="1" ht="13" x14ac:dyDescent="0.35">
      <c r="A8" s="80" t="s">
        <v>104</v>
      </c>
      <c r="B8" s="85" t="s">
        <v>49</v>
      </c>
      <c r="C8" s="4">
        <f>C5-C7</f>
        <v>2573.3700000000008</v>
      </c>
      <c r="D8" s="4">
        <f>'výhled-aktiv '!H45</f>
        <v>3126.59</v>
      </c>
      <c r="E8" s="4">
        <f>'výhled-aktiv '!I45</f>
        <v>-18.219999999999345</v>
      </c>
      <c r="F8" s="4">
        <f>'výhled-aktiv '!J45</f>
        <v>1887.2599999999984</v>
      </c>
      <c r="G8" s="4">
        <f>'výhled-aktiv '!K45</f>
        <v>2289.9299999999985</v>
      </c>
      <c r="H8" s="4">
        <f>'výhled-aktiv '!L45</f>
        <v>2976.6999999999989</v>
      </c>
      <c r="I8" s="4">
        <f>'výhled-aktiv '!M45</f>
        <v>5131.840000000002</v>
      </c>
      <c r="J8" s="4">
        <f>'výhled-aktiv '!N45</f>
        <v>9297.2999999999993</v>
      </c>
      <c r="K8" s="4">
        <f>'výhled-aktiv '!O45</f>
        <v>14484.88</v>
      </c>
      <c r="L8" s="4">
        <f>'výhled-aktiv '!P45</f>
        <v>6161.74</v>
      </c>
      <c r="M8" s="4">
        <f>'výhled-aktiv '!Q45</f>
        <v>7455.5499999999993</v>
      </c>
      <c r="N8" s="4">
        <f>'výhled-aktiv '!R45</f>
        <v>7377.9499999999989</v>
      </c>
      <c r="O8" s="4">
        <f>'výhled-aktiv '!S45</f>
        <v>11490.720000000001</v>
      </c>
      <c r="P8" s="4">
        <f>'výhled-aktiv '!T45</f>
        <v>7655.0400000000009</v>
      </c>
      <c r="Q8" s="4">
        <f>'výhled-aktiv '!U45</f>
        <v>9777.7999999999993</v>
      </c>
      <c r="R8" s="4">
        <f>'výhled-aktiv '!V45</f>
        <v>6237.4800000000032</v>
      </c>
      <c r="S8" s="4">
        <f>'výhled-aktiv '!W45</f>
        <v>14686.039999999997</v>
      </c>
      <c r="T8" s="4">
        <f>'výhled-aktiv '!X45</f>
        <v>12500.670000000004</v>
      </c>
      <c r="U8" s="4">
        <f>'výhled-aktiv '!Y45</f>
        <v>-1811.6600000000035</v>
      </c>
      <c r="V8" s="4">
        <f>'výhled-aktiv '!Z45</f>
        <v>9273</v>
      </c>
      <c r="W8" s="4">
        <f>'výhled-aktiv '!AA45</f>
        <v>10000</v>
      </c>
      <c r="X8" s="4">
        <f>'výhled-aktiv '!AB45</f>
        <v>15000</v>
      </c>
      <c r="Y8" s="4">
        <f>'výhled-aktiv '!AC45</f>
        <v>17000</v>
      </c>
      <c r="Z8" s="4">
        <f>'výhled-aktiv '!AD45</f>
        <v>18000</v>
      </c>
      <c r="AA8" s="4">
        <f>'výhled-aktiv '!AE45</f>
        <v>20000</v>
      </c>
      <c r="AB8" s="211">
        <f>SUM(W8:AA8)</f>
        <v>80000</v>
      </c>
      <c r="AF8" s="89"/>
    </row>
    <row r="9" spans="1:32" s="5" customFormat="1" ht="13.5" thickBot="1" x14ac:dyDescent="0.4">
      <c r="A9" s="98" t="s">
        <v>105</v>
      </c>
      <c r="B9" s="86" t="s">
        <v>103</v>
      </c>
      <c r="C9" s="128">
        <f>'výhled-aktiv '!G44</f>
        <v>6084.13</v>
      </c>
      <c r="D9" s="128">
        <f>'výhled-aktiv '!H44</f>
        <v>8045.57</v>
      </c>
      <c r="E9" s="128">
        <f>'výhled-aktiv '!I44</f>
        <v>14856.16</v>
      </c>
      <c r="F9" s="128">
        <f>'výhled-aktiv '!J44</f>
        <v>15783.4</v>
      </c>
      <c r="G9" s="128">
        <f>'výhled-aktiv '!K44</f>
        <v>17191</v>
      </c>
      <c r="H9" s="128">
        <f>'výhled-aktiv '!L44</f>
        <v>18473.39</v>
      </c>
      <c r="I9" s="128">
        <f>'výhled-aktiv '!M44</f>
        <v>22564.251800000002</v>
      </c>
      <c r="J9" s="128">
        <f>'výhled-aktiv '!N44</f>
        <v>23830.419449999998</v>
      </c>
      <c r="K9" s="128">
        <f>'výhled-aktiv '!O44</f>
        <v>15374.77824</v>
      </c>
      <c r="L9" s="128">
        <f>'výhled-aktiv '!P44</f>
        <v>20688.119190000001</v>
      </c>
      <c r="M9" s="128">
        <f>'výhled-aktiv '!Q44</f>
        <v>26077.906429999999</v>
      </c>
      <c r="N9" s="128">
        <f>'výhled-aktiv '!R44</f>
        <v>28284.134289999998</v>
      </c>
      <c r="O9" s="128">
        <f>'výhled-aktiv '!S44</f>
        <v>49917.503960000002</v>
      </c>
      <c r="P9" s="128">
        <f>'výhled-aktiv '!T44</f>
        <v>29917.509959999999</v>
      </c>
      <c r="Q9" s="128">
        <f>'výhled-aktiv '!U44</f>
        <v>14204.01964</v>
      </c>
      <c r="R9" s="128">
        <f>'výhled-aktiv '!V44</f>
        <v>13180.112949999999</v>
      </c>
      <c r="S9" s="128">
        <f>'výhled-aktiv '!W44</f>
        <v>20710.476649999997</v>
      </c>
      <c r="T9" s="128">
        <f>'výhled-aktiv '!X44</f>
        <v>12042.01359</v>
      </c>
      <c r="U9" s="128">
        <f>'výhled-aktiv '!Y44</f>
        <v>12134.72443</v>
      </c>
      <c r="V9" s="128">
        <f>'výhled-aktiv '!Z44</f>
        <v>8832.7244300000002</v>
      </c>
      <c r="W9" s="128">
        <f>'výhled-aktiv '!AA44</f>
        <v>18832.724430000002</v>
      </c>
      <c r="X9" s="128">
        <f>'výhled-aktiv '!AB44</f>
        <v>33832.724430000002</v>
      </c>
      <c r="Y9" s="128">
        <f>'výhled-aktiv '!AC44</f>
        <v>50832.724430000002</v>
      </c>
      <c r="Z9" s="128">
        <f>'výhled-aktiv '!AD44</f>
        <v>68832.724430000002</v>
      </c>
      <c r="AA9" s="128">
        <f>'výhled-aktiv '!AE44</f>
        <v>88832.724430000002</v>
      </c>
      <c r="AB9" s="211"/>
      <c r="AF9" s="89"/>
    </row>
    <row r="10" spans="1:32" s="5" customFormat="1" ht="28.4" customHeight="1" thickBot="1" x14ac:dyDescent="0.4">
      <c r="A10" s="229" t="s">
        <v>106</v>
      </c>
      <c r="B10" s="230" t="s">
        <v>111</v>
      </c>
      <c r="C10" s="231"/>
      <c r="D10" s="231">
        <f t="shared" ref="D10:AA10" si="4">C9+D8</f>
        <v>9210.7200000000012</v>
      </c>
      <c r="E10" s="231">
        <f t="shared" si="4"/>
        <v>8027.35</v>
      </c>
      <c r="F10" s="231">
        <f t="shared" si="4"/>
        <v>16743.419999999998</v>
      </c>
      <c r="G10" s="231">
        <f t="shared" si="4"/>
        <v>18073.329999999998</v>
      </c>
      <c r="H10" s="231">
        <f t="shared" si="4"/>
        <v>20167.699999999997</v>
      </c>
      <c r="I10" s="231">
        <f t="shared" si="4"/>
        <v>23605.230000000003</v>
      </c>
      <c r="J10" s="231">
        <f t="shared" si="4"/>
        <v>31861.551800000001</v>
      </c>
      <c r="K10" s="231">
        <f t="shared" si="4"/>
        <v>38315.299449999999</v>
      </c>
      <c r="L10" s="231">
        <f t="shared" si="4"/>
        <v>21536.518239999998</v>
      </c>
      <c r="M10" s="231">
        <f t="shared" si="4"/>
        <v>28143.669190000001</v>
      </c>
      <c r="N10" s="231">
        <f t="shared" si="4"/>
        <v>33455.85643</v>
      </c>
      <c r="O10" s="231">
        <f t="shared" si="4"/>
        <v>39774.854290000003</v>
      </c>
      <c r="P10" s="231">
        <f t="shared" si="4"/>
        <v>57572.543960000003</v>
      </c>
      <c r="Q10" s="231">
        <f t="shared" si="4"/>
        <v>39695.309959999999</v>
      </c>
      <c r="R10" s="231">
        <f t="shared" si="4"/>
        <v>20441.499640000002</v>
      </c>
      <c r="S10" s="231">
        <f t="shared" si="4"/>
        <v>27866.152949999996</v>
      </c>
      <c r="T10" s="231">
        <f t="shared" si="4"/>
        <v>33211.146650000002</v>
      </c>
      <c r="U10" s="231">
        <f t="shared" si="4"/>
        <v>10230.353589999997</v>
      </c>
      <c r="V10" s="231">
        <f t="shared" si="4"/>
        <v>21407.724430000002</v>
      </c>
      <c r="W10" s="231">
        <f t="shared" si="4"/>
        <v>18832.724430000002</v>
      </c>
      <c r="X10" s="231">
        <f t="shared" si="4"/>
        <v>33832.724430000002</v>
      </c>
      <c r="Y10" s="231">
        <f t="shared" si="4"/>
        <v>50832.724430000002</v>
      </c>
      <c r="Z10" s="231">
        <f t="shared" si="4"/>
        <v>68832.724430000002</v>
      </c>
      <c r="AA10" s="231">
        <f t="shared" si="4"/>
        <v>88832.724430000002</v>
      </c>
      <c r="AB10" s="211"/>
      <c r="AF10" s="89"/>
    </row>
    <row r="11" spans="1:32" x14ac:dyDescent="0.25">
      <c r="A11" s="223" t="s">
        <v>107</v>
      </c>
      <c r="B11" s="224" t="s">
        <v>64</v>
      </c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>
        <f>'výhled-aktiv '!Z51</f>
        <v>304851.21698999999</v>
      </c>
      <c r="V11" s="225">
        <f>'výhled-aktiv '!AA51</f>
        <v>304851.21698999999</v>
      </c>
      <c r="W11" s="225">
        <f>'výhled-aktiv '!AB51</f>
        <v>304851.21698999999</v>
      </c>
      <c r="X11" s="225">
        <f>'výhled-aktiv '!AC51</f>
        <v>304851.21698999999</v>
      </c>
      <c r="Y11" s="225">
        <f>'výhled-aktiv '!AD51</f>
        <v>304851.21698999999</v>
      </c>
      <c r="Z11" s="225">
        <f>'výhled-aktiv '!AE51</f>
        <v>304851.21698999999</v>
      </c>
      <c r="AA11" s="225">
        <f>'výhled-aktiv '!AF51</f>
        <v>0</v>
      </c>
      <c r="AB11" s="226"/>
    </row>
    <row r="12" spans="1:32" s="5" customFormat="1" ht="39" x14ac:dyDescent="0.35">
      <c r="A12" s="227" t="s">
        <v>108</v>
      </c>
      <c r="B12" s="228" t="s">
        <v>110</v>
      </c>
      <c r="C12" s="4" t="s">
        <v>109</v>
      </c>
      <c r="D12" s="4" t="s">
        <v>109</v>
      </c>
      <c r="E12" s="4" t="s">
        <v>109</v>
      </c>
      <c r="F12" s="4" t="str">
        <f>IF(F11/50&lt;F8,"ANO","NE")</f>
        <v>ANO</v>
      </c>
      <c r="G12" s="4" t="str">
        <f t="shared" ref="G12:T12" si="5">IF(G11/50&lt;G8,"ANO","NE")</f>
        <v>ANO</v>
      </c>
      <c r="H12" s="4" t="str">
        <f t="shared" si="5"/>
        <v>ANO</v>
      </c>
      <c r="I12" s="4" t="str">
        <f t="shared" si="5"/>
        <v>ANO</v>
      </c>
      <c r="J12" s="4" t="str">
        <f t="shared" si="5"/>
        <v>ANO</v>
      </c>
      <c r="K12" s="4" t="str">
        <f t="shared" si="5"/>
        <v>ANO</v>
      </c>
      <c r="L12" s="4" t="str">
        <f t="shared" si="5"/>
        <v>ANO</v>
      </c>
      <c r="M12" s="4" t="str">
        <f t="shared" si="5"/>
        <v>ANO</v>
      </c>
      <c r="N12" s="4" t="str">
        <f t="shared" si="5"/>
        <v>ANO</v>
      </c>
      <c r="O12" s="4" t="str">
        <f t="shared" si="5"/>
        <v>ANO</v>
      </c>
      <c r="P12" s="4" t="str">
        <f t="shared" si="5"/>
        <v>ANO</v>
      </c>
      <c r="Q12" s="4" t="str">
        <f t="shared" si="5"/>
        <v>ANO</v>
      </c>
      <c r="R12" s="4" t="str">
        <f t="shared" si="5"/>
        <v>ANO</v>
      </c>
      <c r="S12" s="4" t="str">
        <f t="shared" si="5"/>
        <v>ANO</v>
      </c>
      <c r="T12" s="4" t="str">
        <f t="shared" si="5"/>
        <v>ANO</v>
      </c>
      <c r="U12" s="4" t="str">
        <f t="shared" ref="U12:AA12" si="6">IF(U11/50&lt;U8,"ANO","NE")</f>
        <v>NE</v>
      </c>
      <c r="V12" s="4" t="str">
        <f t="shared" si="6"/>
        <v>ANO</v>
      </c>
      <c r="W12" s="4" t="str">
        <f t="shared" si="6"/>
        <v>ANO</v>
      </c>
      <c r="X12" s="4" t="str">
        <f t="shared" si="6"/>
        <v>ANO</v>
      </c>
      <c r="Y12" s="4" t="str">
        <f t="shared" si="6"/>
        <v>ANO</v>
      </c>
      <c r="Z12" s="4" t="str">
        <f t="shared" si="6"/>
        <v>ANO</v>
      </c>
      <c r="AA12" s="4" t="str">
        <f t="shared" si="6"/>
        <v>ANO</v>
      </c>
      <c r="AB12" s="226"/>
      <c r="AF12" s="89"/>
    </row>
    <row r="13" spans="1:32" ht="13" x14ac:dyDescent="0.3">
      <c r="A13" s="9"/>
      <c r="B13" s="81" t="s">
        <v>53</v>
      </c>
      <c r="C13" s="214"/>
      <c r="D13" s="214">
        <f t="shared" ref="D13:AA13" si="7">((D3/C3*100)-100)/100</f>
        <v>-1.5338212885641554E-2</v>
      </c>
      <c r="E13" s="214">
        <f t="shared" si="7"/>
        <v>0.20378525737072267</v>
      </c>
      <c r="F13" s="214">
        <f t="shared" si="7"/>
        <v>-0.14001551120779354</v>
      </c>
      <c r="G13" s="214">
        <f t="shared" si="7"/>
        <v>2.0749144140696105E-2</v>
      </c>
      <c r="H13" s="214">
        <f t="shared" si="7"/>
        <v>0.11252758240242727</v>
      </c>
      <c r="I13" s="214">
        <f t="shared" si="7"/>
        <v>0.14187772621270484</v>
      </c>
      <c r="J13" s="214">
        <f t="shared" si="7"/>
        <v>6.1863182599385454E-2</v>
      </c>
      <c r="K13" s="214">
        <f t="shared" si="7"/>
        <v>3.0389601593345361E-2</v>
      </c>
      <c r="L13" s="214">
        <f t="shared" si="7"/>
        <v>2.5665878483339385E-2</v>
      </c>
      <c r="M13" s="214">
        <f t="shared" si="7"/>
        <v>0.10475302562279425</v>
      </c>
      <c r="N13" s="214">
        <f t="shared" si="7"/>
        <v>0.25523611355867443</v>
      </c>
      <c r="O13" s="214">
        <f t="shared" si="7"/>
        <v>9.9084184802394615E-2</v>
      </c>
      <c r="P13" s="214">
        <f t="shared" si="7"/>
        <v>-3.7028486105640045E-2</v>
      </c>
      <c r="Q13" s="214">
        <f t="shared" si="7"/>
        <v>0.11049639546858912</v>
      </c>
      <c r="R13" s="214">
        <f t="shared" si="7"/>
        <v>0.18582869946174158</v>
      </c>
      <c r="S13" s="214">
        <f t="shared" si="7"/>
        <v>0.18718893449879445</v>
      </c>
      <c r="T13" s="214">
        <f t="shared" si="7"/>
        <v>4.682407848527248E-3</v>
      </c>
      <c r="U13" s="214">
        <f t="shared" si="7"/>
        <v>2.7421917496366178E-2</v>
      </c>
      <c r="V13" s="214">
        <f t="shared" si="7"/>
        <v>0.20996655673777981</v>
      </c>
      <c r="W13" s="214">
        <f t="shared" si="7"/>
        <v>4.7912403215257769E-2</v>
      </c>
      <c r="X13" s="214">
        <f t="shared" si="7"/>
        <v>5.7378699416146477E-2</v>
      </c>
      <c r="Y13" s="214">
        <f t="shared" si="7"/>
        <v>6.092916984006095E-2</v>
      </c>
      <c r="Z13" s="214">
        <f t="shared" si="7"/>
        <v>5.6532663316583014E-2</v>
      </c>
      <c r="AA13" s="214">
        <f t="shared" si="7"/>
        <v>5.6905045014438542E-2</v>
      </c>
      <c r="AB13" s="211"/>
    </row>
    <row r="14" spans="1:32" ht="13.5" thickBot="1" x14ac:dyDescent="0.35">
      <c r="A14" s="9"/>
      <c r="B14" s="82" t="s">
        <v>54</v>
      </c>
      <c r="C14" s="215"/>
      <c r="D14" s="215">
        <f t="shared" ref="D14:AA14" si="8">((D4/C4*100)-100)/100</f>
        <v>-8.4444112791142348E-2</v>
      </c>
      <c r="E14" s="215">
        <f t="shared" si="8"/>
        <v>0.68542163335167172</v>
      </c>
      <c r="F14" s="215">
        <f t="shared" si="8"/>
        <v>-0.28380131580637524</v>
      </c>
      <c r="G14" s="215">
        <f t="shared" si="8"/>
        <v>-1.7601922665060242E-2</v>
      </c>
      <c r="H14" s="215">
        <f t="shared" si="8"/>
        <v>6.6446727600956587E-2</v>
      </c>
      <c r="I14" s="215">
        <f t="shared" si="8"/>
        <v>-3.2618021429146896E-2</v>
      </c>
      <c r="J14" s="215">
        <f t="shared" si="8"/>
        <v>-0.338698109299026</v>
      </c>
      <c r="K14" s="215">
        <f t="shared" si="8"/>
        <v>-0.74171820570174674</v>
      </c>
      <c r="L14" s="215">
        <f t="shared" si="8"/>
        <v>5.3248212772959702</v>
      </c>
      <c r="M14" s="215">
        <f t="shared" si="8"/>
        <v>4.2278588105605766E-2</v>
      </c>
      <c r="N14" s="215">
        <f t="shared" si="8"/>
        <v>0.43833685107783482</v>
      </c>
      <c r="O14" s="215">
        <f t="shared" si="8"/>
        <v>-0.11828010207033088</v>
      </c>
      <c r="P14" s="215">
        <f t="shared" si="8"/>
        <v>0.2115695695564348</v>
      </c>
      <c r="Q14" s="215">
        <f t="shared" si="8"/>
        <v>3.3666747693736877E-2</v>
      </c>
      <c r="R14" s="215">
        <f t="shared" si="8"/>
        <v>0.49767222561774188</v>
      </c>
      <c r="S14" s="215">
        <f t="shared" si="8"/>
        <v>-9.5795215252984317E-2</v>
      </c>
      <c r="T14" s="215">
        <f t="shared" si="8"/>
        <v>6.9133169306738296E-2</v>
      </c>
      <c r="U14" s="215">
        <f t="shared" si="8"/>
        <v>6.3454679737399997E-3</v>
      </c>
      <c r="V14" s="215">
        <f t="shared" si="8"/>
        <v>0.52316954779530733</v>
      </c>
      <c r="W14" s="215">
        <f t="shared" si="8"/>
        <v>4.0497298431516671E-2</v>
      </c>
      <c r="X14" s="215">
        <f t="shared" si="8"/>
        <v>-5.419712629190826E-2</v>
      </c>
      <c r="Y14" s="215">
        <f t="shared" si="8"/>
        <v>3.1982942430703647E-2</v>
      </c>
      <c r="Z14" s="215">
        <f t="shared" si="8"/>
        <v>5.5526859504132345E-2</v>
      </c>
      <c r="AA14" s="215">
        <f t="shared" si="8"/>
        <v>3.3031563494005524E-2</v>
      </c>
      <c r="AB14" s="211"/>
    </row>
    <row r="15" spans="1:32" ht="13" x14ac:dyDescent="0.3">
      <c r="A15" s="9"/>
      <c r="B15" s="83" t="s">
        <v>62</v>
      </c>
      <c r="C15" s="126"/>
      <c r="D15" s="126">
        <f t="shared" ref="D15:AA15" si="9">D3-C3</f>
        <v>-171.02000000000044</v>
      </c>
      <c r="E15" s="126">
        <f t="shared" si="9"/>
        <v>2237.34</v>
      </c>
      <c r="F15" s="126">
        <f t="shared" si="9"/>
        <v>-1850.4800000000014</v>
      </c>
      <c r="G15" s="126">
        <f t="shared" si="9"/>
        <v>235.82999999999993</v>
      </c>
      <c r="H15" s="126">
        <f t="shared" si="9"/>
        <v>1305.5</v>
      </c>
      <c r="I15" s="126">
        <f t="shared" si="9"/>
        <v>1831.2300000000032</v>
      </c>
      <c r="J15" s="126">
        <f t="shared" si="9"/>
        <v>911.7599999999984</v>
      </c>
      <c r="K15" s="126">
        <f t="shared" si="9"/>
        <v>475.59999999999854</v>
      </c>
      <c r="L15" s="126">
        <f t="shared" si="9"/>
        <v>413.88000000000102</v>
      </c>
      <c r="M15" s="126">
        <f t="shared" si="9"/>
        <v>1732.5699999999997</v>
      </c>
      <c r="N15" s="126">
        <f t="shared" si="9"/>
        <v>4663.7099999999991</v>
      </c>
      <c r="O15" s="126">
        <f t="shared" si="9"/>
        <v>2272.5800000000017</v>
      </c>
      <c r="P15" s="126">
        <f t="shared" si="9"/>
        <v>-933.43000000000029</v>
      </c>
      <c r="Q15" s="126">
        <f t="shared" si="9"/>
        <v>2682.2999999999993</v>
      </c>
      <c r="R15" s="126">
        <f t="shared" si="9"/>
        <v>5009.4400000000023</v>
      </c>
      <c r="S15" s="126">
        <f t="shared" si="9"/>
        <v>5983.8199999999961</v>
      </c>
      <c r="T15" s="126">
        <f t="shared" si="9"/>
        <v>177.70000000000437</v>
      </c>
      <c r="U15" s="126">
        <f t="shared" si="9"/>
        <v>1045.5499999999956</v>
      </c>
      <c r="V15" s="126">
        <f t="shared" si="9"/>
        <v>8225.1900000000023</v>
      </c>
      <c r="W15" s="126">
        <f t="shared" si="9"/>
        <v>2271</v>
      </c>
      <c r="X15" s="126">
        <f t="shared" si="9"/>
        <v>2850</v>
      </c>
      <c r="Y15" s="126">
        <f t="shared" si="9"/>
        <v>3200</v>
      </c>
      <c r="Z15" s="126">
        <f t="shared" si="9"/>
        <v>3150</v>
      </c>
      <c r="AA15" s="126">
        <f t="shared" si="9"/>
        <v>3350</v>
      </c>
      <c r="AB15" s="216">
        <f>SUM(W15:AA15)</f>
        <v>14821</v>
      </c>
    </row>
    <row r="16" spans="1:32" ht="13.5" thickBot="1" x14ac:dyDescent="0.35">
      <c r="A16" s="9"/>
      <c r="B16" s="81" t="s">
        <v>63</v>
      </c>
      <c r="C16" s="4"/>
      <c r="D16" s="126">
        <f t="shared" ref="D16:AA16" si="10">D4-C4</f>
        <v>-724.23999999999978</v>
      </c>
      <c r="E16" s="126">
        <f t="shared" si="10"/>
        <v>5382.15</v>
      </c>
      <c r="F16" s="126">
        <f t="shared" si="10"/>
        <v>-3755.9599999999991</v>
      </c>
      <c r="G16" s="126">
        <f t="shared" si="10"/>
        <v>-166.84000000000015</v>
      </c>
      <c r="H16" s="126">
        <f t="shared" si="10"/>
        <v>618.72999999999956</v>
      </c>
      <c r="I16" s="126">
        <f t="shared" si="10"/>
        <v>-323.90999999999985</v>
      </c>
      <c r="J16" s="126">
        <f t="shared" si="10"/>
        <v>-3253.7</v>
      </c>
      <c r="K16" s="126">
        <f t="shared" si="10"/>
        <v>-4711.9799999999996</v>
      </c>
      <c r="L16" s="126">
        <f t="shared" si="10"/>
        <v>8737.02</v>
      </c>
      <c r="M16" s="126">
        <f t="shared" si="10"/>
        <v>438.76000000000022</v>
      </c>
      <c r="N16" s="126">
        <f t="shared" si="10"/>
        <v>4741.3099999999995</v>
      </c>
      <c r="O16" s="126">
        <f t="shared" si="10"/>
        <v>-1840.1900000000005</v>
      </c>
      <c r="P16" s="126">
        <f t="shared" si="10"/>
        <v>2902.25</v>
      </c>
      <c r="Q16" s="126">
        <f t="shared" si="10"/>
        <v>559.54000000000087</v>
      </c>
      <c r="R16" s="126">
        <f t="shared" si="10"/>
        <v>8549.7599999999984</v>
      </c>
      <c r="S16" s="126">
        <f t="shared" si="10"/>
        <v>-2464.739999999998</v>
      </c>
      <c r="T16" s="126">
        <f t="shared" si="10"/>
        <v>1608.3499999999985</v>
      </c>
      <c r="U16" s="126">
        <f t="shared" si="10"/>
        <v>157.83000000000175</v>
      </c>
      <c r="V16" s="126">
        <f t="shared" si="10"/>
        <v>13095.3</v>
      </c>
      <c r="W16" s="126">
        <f t="shared" si="10"/>
        <v>1544</v>
      </c>
      <c r="X16" s="126">
        <f t="shared" si="10"/>
        <v>-2150</v>
      </c>
      <c r="Y16" s="126">
        <f t="shared" si="10"/>
        <v>1200</v>
      </c>
      <c r="Z16" s="126">
        <f t="shared" si="10"/>
        <v>2150</v>
      </c>
      <c r="AA16" s="126">
        <f t="shared" si="10"/>
        <v>1350</v>
      </c>
      <c r="AB16" s="217">
        <f>SUM(W16:AA16)</f>
        <v>4094</v>
      </c>
    </row>
    <row r="17" spans="1:27" ht="15.65" customHeight="1" x14ac:dyDescent="0.3">
      <c r="A17" s="9"/>
      <c r="B17" s="87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9"/>
    </row>
    <row r="23" spans="1:27" ht="13" x14ac:dyDescent="0.25">
      <c r="J23" s="220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</row>
    <row r="26" spans="1:27" x14ac:dyDescent="0.25">
      <c r="B26" s="265" t="s">
        <v>150</v>
      </c>
    </row>
    <row r="27" spans="1:27" x14ac:dyDescent="0.25">
      <c r="C27" s="7"/>
    </row>
    <row r="50" spans="27:31" x14ac:dyDescent="0.25">
      <c r="AA50" s="222">
        <f>AA33-AA35-AA49+AA27</f>
        <v>0</v>
      </c>
      <c r="AB50" s="222">
        <f>AB33-AB35-AB49+AB27</f>
        <v>0</v>
      </c>
      <c r="AC50" s="222">
        <f>AC33-AC35-AC49+AC27</f>
        <v>0</v>
      </c>
      <c r="AD50" s="222">
        <f>AD33-AD35-AD49+AD27</f>
        <v>0</v>
      </c>
      <c r="AE50" s="222">
        <f>AE33-AE35-AE49+AE27</f>
        <v>0</v>
      </c>
    </row>
    <row r="54" spans="27:31" ht="23.15" customHeight="1" x14ac:dyDescent="0.25"/>
    <row r="56" spans="27:31" x14ac:dyDescent="0.25">
      <c r="AC56" s="7">
        <f>276-307</f>
        <v>-31</v>
      </c>
    </row>
    <row r="65" spans="1:1" ht="104.15" customHeight="1" x14ac:dyDescent="0.25">
      <c r="A65" s="243" t="s">
        <v>129</v>
      </c>
    </row>
  </sheetData>
  <conditionalFormatting sqref="C5:AA5 C10:AA10 C12:AA12">
    <cfRule type="cellIs" dxfId="11" priority="57" stopIfTrue="1" operator="lessThan">
      <formula>0</formula>
    </cfRule>
  </conditionalFormatting>
  <conditionalFormatting sqref="C5:AA5">
    <cfRule type="cellIs" dxfId="10" priority="53" operator="lessThan">
      <formula>0</formula>
    </cfRule>
  </conditionalFormatting>
  <conditionalFormatting sqref="C8:AA10 C12:AA12">
    <cfRule type="cellIs" dxfId="9" priority="52" operator="lessThan">
      <formula>0</formula>
    </cfRule>
  </conditionalFormatting>
  <conditionalFormatting sqref="D15:AB15">
    <cfRule type="cellIs" dxfId="8" priority="16" operator="greaterThan">
      <formula>D16</formula>
    </cfRule>
  </conditionalFormatting>
  <conditionalFormatting sqref="D16:AB16">
    <cfRule type="cellIs" dxfId="7" priority="18" operator="greaterThan">
      <formula>D15</formula>
    </cfRule>
    <cfRule type="cellIs" dxfId="6" priority="20" operator="greaterThan">
      <formula>D15</formula>
    </cfRule>
  </conditionalFormatting>
  <conditionalFormatting sqref="E15:AB15">
    <cfRule type="cellIs" dxfId="5" priority="17" operator="greaterThan">
      <formula>E16</formula>
    </cfRule>
  </conditionalFormatting>
  <conditionalFormatting sqref="E16:AB16">
    <cfRule type="cellIs" dxfId="4" priority="19" operator="greaterThan">
      <formula>E15</formula>
    </cfRule>
  </conditionalFormatting>
  <pageMargins left="0.39370078740157483" right="0.39370078740157483" top="0.35433070866141736" bottom="0.39370078740157483" header="0.15748031496062992" footer="0.31496062992125984"/>
  <pageSetup paperSize="9" scale="68" orientation="portrait" r:id="rId1"/>
  <headerFooter alignWithMargins="0">
    <oddHeader>&amp;CRozpočtový výhled 2006-2010</oddHeader>
  </headerFooter>
  <rowBreaks count="1" manualBreakCount="1">
    <brk id="26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9"/>
  <sheetViews>
    <sheetView showGridLines="0" topLeftCell="A4" zoomScale="55" zoomScaleNormal="55" zoomScaleSheetLayoutView="55" workbookViewId="0">
      <selection activeCell="F38" sqref="F38"/>
    </sheetView>
  </sheetViews>
  <sheetFormatPr defaultRowHeight="14.5" x14ac:dyDescent="0.35"/>
  <sheetData>
    <row r="29" spans="2:2" x14ac:dyDescent="0.35">
      <c r="B29" s="264" t="s">
        <v>150</v>
      </c>
    </row>
  </sheetData>
  <pageMargins left="0.7" right="0.7" top="0.78740157499999996" bottom="0.78740157499999996" header="0.3" footer="0.3"/>
  <pageSetup paperSize="9" scale="4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9:Y53"/>
  <sheetViews>
    <sheetView showGridLines="0" zoomScale="40" zoomScaleNormal="40" zoomScaleSheetLayoutView="55" workbookViewId="0">
      <selection activeCell="AI60" sqref="AI60"/>
    </sheetView>
  </sheetViews>
  <sheetFormatPr defaultRowHeight="14.5" x14ac:dyDescent="0.35"/>
  <cols>
    <col min="1" max="1" width="8.81640625" customWidth="1"/>
  </cols>
  <sheetData>
    <row r="29" spans="2:2" x14ac:dyDescent="0.35">
      <c r="B29" s="264" t="s">
        <v>150</v>
      </c>
    </row>
    <row r="53" spans="21:25" x14ac:dyDescent="0.35">
      <c r="U53">
        <f>U36-U38-U52+U30</f>
        <v>0</v>
      </c>
      <c r="V53">
        <f>V36-V38-V52+V30</f>
        <v>0</v>
      </c>
      <c r="W53">
        <f>W36-W38-W52+W30</f>
        <v>0</v>
      </c>
      <c r="X53">
        <f>X36-X38-X52+X30</f>
        <v>0</v>
      </c>
      <c r="Y53">
        <f>Y36-Y38-Y52+Y30</f>
        <v>0</v>
      </c>
    </row>
  </sheetData>
  <pageMargins left="0.7" right="0.7" top="0.78740157499999996" bottom="0.78740157499999996" header="0.3" footer="0.3"/>
  <pageSetup paperSize="9" scale="4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9:Y53"/>
  <sheetViews>
    <sheetView zoomScale="70" zoomScaleNormal="70" workbookViewId="0">
      <selection activeCell="U29" sqref="U29"/>
    </sheetView>
  </sheetViews>
  <sheetFormatPr defaultRowHeight="14.5" x14ac:dyDescent="0.35"/>
  <sheetData>
    <row r="29" spans="2:2" x14ac:dyDescent="0.35">
      <c r="B29" s="264" t="s">
        <v>150</v>
      </c>
    </row>
    <row r="53" spans="21:25" x14ac:dyDescent="0.35">
      <c r="U53">
        <f>U36-U38-U52+U30</f>
        <v>0</v>
      </c>
      <c r="V53">
        <f>V36-V38-V52+V30</f>
        <v>0</v>
      </c>
      <c r="W53">
        <f>W36-W38-W52+W30</f>
        <v>0</v>
      </c>
      <c r="X53">
        <f>X36-X38-X52+X30</f>
        <v>0</v>
      </c>
      <c r="Y53">
        <f>Y36-Y38-Y52+Y30</f>
        <v>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8</vt:i4>
      </vt:variant>
    </vt:vector>
  </HeadingPairs>
  <TitlesOfParts>
    <vt:vector size="21" baseType="lpstr">
      <vt:lpstr>výhled-aktiv </vt:lpstr>
      <vt:lpstr>Kondice</vt:lpstr>
      <vt:lpstr>KUMULOVANY</vt:lpstr>
      <vt:lpstr>ÚD</vt:lpstr>
      <vt:lpstr>ÚD-zdroj</vt:lpstr>
      <vt:lpstr>provozni saldo</vt:lpstr>
      <vt:lpstr>úvěry-účty a fin maj-pohledávky</vt:lpstr>
      <vt:lpstr>úvěry a účty vcetne vyhledu</vt:lpstr>
      <vt:lpstr>ZMENY BP A BV</vt:lpstr>
      <vt:lpstr>ZDROJ</vt:lpstr>
      <vt:lpstr>Rating</vt:lpstr>
      <vt:lpstr>Limity</vt:lpstr>
      <vt:lpstr>Hospodářská činnost</vt:lpstr>
      <vt:lpstr>'výhled-aktiv '!_Hlk166831042</vt:lpstr>
      <vt:lpstr>KUMULOVANY!Oblast_tisku</vt:lpstr>
      <vt:lpstr>'provozni saldo'!Oblast_tisku</vt:lpstr>
      <vt:lpstr>ÚD!Oblast_tisku</vt:lpstr>
      <vt:lpstr>'ÚD-zdroj'!Oblast_tisku</vt:lpstr>
      <vt:lpstr>'úvěry a účty vcetne vyhledu'!Oblast_tisku</vt:lpstr>
      <vt:lpstr>'úvěry-účty a fin maj-pohledávky'!Oblast_tisku</vt:lpstr>
      <vt:lpstr>'výhled-aktiv 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Luděk Tesař</dc:creator>
  <cp:lastModifiedBy>Ludek Tesar</cp:lastModifiedBy>
  <cp:lastPrinted>2019-11-29T16:21:32Z</cp:lastPrinted>
  <dcterms:created xsi:type="dcterms:W3CDTF">2009-03-23T13:14:13Z</dcterms:created>
  <dcterms:modified xsi:type="dcterms:W3CDTF">2026-06-15T12:19:11Z</dcterms:modified>
</cp:coreProperties>
</file>